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13.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tables/table14.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tables/table15.xml" ContentType="application/vnd.openxmlformats-officedocument.spreadsheetml.table+xml"/>
  <Override PartName="/xl/comments4.xml" ContentType="application/vnd.openxmlformats-officedocument.spreadsheetml.comments+xml"/>
  <Override PartName="/xl/threadedComments/threadedComment4.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4.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Z:\PLATEFORME\AEF\2026\04 - DONNES CHIFFREES\Recensement\Template\"/>
    </mc:Choice>
  </mc:AlternateContent>
  <xr:revisionPtr revIDLastSave="0" documentId="13_ncr:1_{D126257F-73C2-4950-A7AF-8FA7AF56E35B}" xr6:coauthVersionLast="47" xr6:coauthVersionMax="47" xr10:uidLastSave="{00000000-0000-0000-0000-000000000000}"/>
  <workbookProtection workbookAlgorithmName="SHA-512" workbookHashValue="nA4OBkIXdD0p5IQ+wqhBQUSKMjBijJF3nwshoMfK3IECpn1s++mzZvi0GF7G6vWo0QtoM7nYWPUXHLhGk9Bvdw==" workbookSaltValue="tdBE+33Yr+7Gj2XgQ3e4+Q==" workbookSpinCount="100000" lockStructure="1"/>
  <bookViews>
    <workbookView xWindow="-108" yWindow="-108" windowWidth="23256" windowHeight="12456" firstSheet="2" activeTab="2" xr2:uid="{1B9D425B-F7AE-4115-A5A6-16CCC4C5EAAB}"/>
  </bookViews>
  <sheets>
    <sheet name="Carrières et points" sheetId="4" state="hidden" r:id="rId1"/>
    <sheet name="Data" sheetId="19" state="hidden" r:id="rId2"/>
    <sheet name="F0 - Générales" sheetId="1" r:id="rId3"/>
    <sheet name="F1 - Infos compl J" sheetId="20" r:id="rId4"/>
    <sheet name="F2 - Facturation H" sheetId="7" r:id="rId5"/>
    <sheet name="F2 - Facturation J" sheetId="22" r:id="rId6"/>
    <sheet name="Explication calcul ETP" sheetId="12" r:id="rId7"/>
    <sheet name="Aide au calcul ETP" sheetId="13" r:id="rId8"/>
    <sheet name="F3 - RDP - Effectif" sheetId="2" r:id="rId9"/>
    <sheet name="F3 - RDP - Specifique" sheetId="23" r:id="rId10"/>
    <sheet name="F4 - RTT" sheetId="9" r:id="rId11"/>
    <sheet name="F5 - Frais et recettes" sheetId="25" r:id="rId12"/>
    <sheet name="F6 - Résultat" sheetId="26" r:id="rId13"/>
    <sheet name="Test de plausibilité old" sheetId="24" state="hidden" r:id="rId14"/>
    <sheet name="Test de plausibilité" sheetId="30" r:id="rId15"/>
    <sheet name="Test d'agrément" sheetId="27" state="hidden" r:id="rId16"/>
    <sheet name="Synthèse ETP" sheetId="28" state="hidden" r:id="rId17"/>
    <sheet name="Synthèse" sheetId="18" state="hidden" r:id="rId18"/>
  </sheets>
  <definedNames>
    <definedName name="_xlnm._FilterDatabase" localSheetId="3">"'f1-renseignementscompl'!#ref!"</definedName>
    <definedName name="Horaire">Data!$AL$4:$AL$10</definedName>
    <definedName name="Journalier">Data!$AN$4:$AN$10</definedName>
    <definedName name="_xlnm.Print_Area" localSheetId="7">'Aide au calcul ETP'!$A$1:$R$308</definedName>
    <definedName name="_xlnm.Print_Area" localSheetId="3">'F1 - Infos compl J'!$A$1:$E$19</definedName>
    <definedName name="_xlnm.Print_Area" localSheetId="8">'F3 - RDP - Effectif'!$A$1:$Q$3,'F3 - RDP - Effectif'!#REF!</definedName>
    <definedName name="_xlnm.Print_Area" localSheetId="9">'F3 - RDP - Specifique'!#REF!,'F3 - RDP - Specifique'!#REF!</definedName>
    <definedName name="_xlnm.Print_Area" localSheetId="14">'Test de plausibilité'!$A$1:$V$31</definedName>
    <definedName name="_xlnm.Print_Area" localSheetId="13">'Test de plausibilité old'!$A$1:$V$29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1" i="30" l="1"/>
  <c r="Q11" i="30"/>
  <c r="D30" i="30"/>
  <c r="G4" i="30" a="1"/>
  <c r="G6" i="30" a="1"/>
  <c r="G7" i="30" a="1"/>
  <c r="G8" i="30" a="1"/>
  <c r="G9" i="30" a="1"/>
  <c r="R23" i="30"/>
  <c r="T18" i="30"/>
  <c r="Q18" i="30"/>
  <c r="N18" i="30"/>
  <c r="K18" i="30"/>
  <c r="H18" i="30"/>
  <c r="C9" i="30"/>
  <c r="C8" i="30"/>
  <c r="C7" i="30"/>
  <c r="C6" i="30"/>
  <c r="C5" i="30"/>
  <c r="C4" i="30"/>
  <c r="F6" i="22"/>
  <c r="B26" i="26" a="1"/>
  <c r="B19" i="1"/>
  <c r="R20" i="24"/>
  <c r="B20" i="1" a="1"/>
  <c r="L5" i="19" a="1"/>
  <c r="C7" i="4"/>
  <c r="C2" i="4"/>
  <c r="C8" i="4" s="1"/>
  <c r="L3" i="28" a="1"/>
  <c r="A3" i="28" a="1"/>
  <c r="N15" i="24"/>
  <c r="T15" i="24"/>
  <c r="Q15" i="24"/>
  <c r="B29" i="26"/>
  <c r="B39" i="26"/>
  <c r="B38" i="26"/>
  <c r="B37" i="26"/>
  <c r="B41" i="26" s="1"/>
  <c r="K15" i="24"/>
  <c r="H15" i="24"/>
  <c r="I23" i="30" a="1"/>
  <c r="C25" i="30" a="1"/>
  <c r="E23" i="30" a="1"/>
  <c r="E28" i="30" a="1"/>
  <c r="C28" i="30" a="1"/>
  <c r="E26" i="30" a="1"/>
  <c r="C26" i="30" a="1"/>
  <c r="C24" i="30" a="1"/>
  <c r="C23" i="30" a="1"/>
  <c r="E27" i="30" a="1"/>
  <c r="C27" i="30" a="1"/>
  <c r="E24" i="30" a="1"/>
  <c r="E25" i="30" a="1"/>
  <c r="E20" i="24" a="1"/>
  <c r="I20" i="24" a="1"/>
  <c r="C21" i="24" a="1"/>
  <c r="C20" i="24" a="1"/>
  <c r="G20" i="24" s="1"/>
  <c r="B24" i="26" a="1"/>
  <c r="B23" i="26" a="1"/>
  <c r="B22" i="26" a="1"/>
  <c r="B21" i="26" a="1"/>
  <c r="E24" i="24" a="1"/>
  <c r="E23" i="24" a="1"/>
  <c r="E25" i="24" a="1"/>
  <c r="C24" i="24" a="1"/>
  <c r="C23" i="24" a="1"/>
  <c r="C25" i="24" a="1"/>
  <c r="C22" i="24" a="1"/>
  <c r="E22" i="24" a="1"/>
  <c r="I13" i="22"/>
  <c r="F1" i="23"/>
  <c r="E1" i="2"/>
  <c r="B83" i="18" a="1"/>
  <c r="D83" i="18" s="1" a="1"/>
  <c r="B82" i="18" a="1"/>
  <c r="D82" i="18" s="1" a="1"/>
  <c r="B81" i="18" a="1"/>
  <c r="D81" i="18" s="1" a="1"/>
  <c r="B80" i="18" a="1"/>
  <c r="D80" i="18" s="1" a="1"/>
  <c r="B79" i="18" a="1"/>
  <c r="D79" i="18" s="1" a="1"/>
  <c r="B78" i="18" a="1"/>
  <c r="D78" i="18" s="1" a="1"/>
  <c r="B77" i="18" a="1"/>
  <c r="D77" i="18" s="1" a="1"/>
  <c r="B76" i="18" a="1"/>
  <c r="D76" i="18" s="1" a="1"/>
  <c r="B75" i="18" a="1"/>
  <c r="D75" i="18" s="1" a="1"/>
  <c r="B74" i="18" a="1"/>
  <c r="D74" i="18" s="1" a="1"/>
  <c r="B69" i="18" a="1"/>
  <c r="D69" i="18" s="1" a="1"/>
  <c r="B68" i="18" a="1"/>
  <c r="D68" i="18" s="1" a="1"/>
  <c r="B67" i="18" a="1"/>
  <c r="D67" i="18" s="1" a="1"/>
  <c r="B66" i="18" a="1"/>
  <c r="D66" i="18" s="1" a="1"/>
  <c r="B65" i="18" a="1"/>
  <c r="D65" i="18" s="1" a="1"/>
  <c r="B64" i="18" a="1"/>
  <c r="D64" i="18" s="1" a="1"/>
  <c r="B63" i="18" a="1"/>
  <c r="D63" i="18" s="1" a="1"/>
  <c r="B62" i="18" a="1"/>
  <c r="D62" i="18" s="1" a="1"/>
  <c r="B61" i="18" a="1"/>
  <c r="D61" i="18" s="1" a="1"/>
  <c r="B60" i="18" a="1"/>
  <c r="D60" i="18" s="1" a="1"/>
  <c r="B55" i="18" a="1"/>
  <c r="D55" i="18" s="1" a="1"/>
  <c r="B54" i="18" a="1"/>
  <c r="D54" i="18" s="1" a="1"/>
  <c r="B53" i="18" a="1"/>
  <c r="D53" i="18" s="1" a="1"/>
  <c r="B52" i="18" a="1"/>
  <c r="D52" i="18" s="1" a="1"/>
  <c r="B51" i="18" a="1"/>
  <c r="D51" i="18" s="1" a="1"/>
  <c r="B50" i="18" a="1"/>
  <c r="D50" i="18" s="1" a="1"/>
  <c r="B49" i="18" a="1"/>
  <c r="D49" i="18" s="1" a="1"/>
  <c r="B48" i="18" a="1"/>
  <c r="D48" i="18" s="1" a="1"/>
  <c r="B47" i="18" a="1"/>
  <c r="D47" i="18" s="1" a="1"/>
  <c r="B46" i="18" a="1"/>
  <c r="D46" i="18" s="1" a="1"/>
  <c r="B41" i="18" a="1"/>
  <c r="D41" i="18" s="1" a="1"/>
  <c r="B40" i="18" a="1"/>
  <c r="D40" i="18" s="1" a="1"/>
  <c r="B39" i="18" a="1"/>
  <c r="D39" i="18" s="1" a="1"/>
  <c r="B38" i="18" a="1"/>
  <c r="D38" i="18" s="1" a="1"/>
  <c r="B37" i="18" a="1"/>
  <c r="D37" i="18" s="1" a="1"/>
  <c r="B36" i="18" a="1"/>
  <c r="D36" i="18" s="1" a="1"/>
  <c r="B35" i="18" a="1"/>
  <c r="D35" i="18" s="1" a="1"/>
  <c r="B34" i="18" a="1"/>
  <c r="D34" i="18" s="1" a="1"/>
  <c r="B33" i="18" a="1"/>
  <c r="D33" i="18" s="1" a="1"/>
  <c r="B32" i="18" a="1"/>
  <c r="D32" i="18" s="1" a="1"/>
  <c r="A111" i="18"/>
  <c r="A110" i="18"/>
  <c r="A108" i="18"/>
  <c r="C14" i="18"/>
  <c r="B14" i="18"/>
  <c r="C13" i="18"/>
  <c r="B13" i="18"/>
  <c r="C12" i="18"/>
  <c r="B12" i="18"/>
  <c r="C11" i="18"/>
  <c r="B11" i="18"/>
  <c r="C10" i="18"/>
  <c r="B10" i="18"/>
  <c r="C9" i="18"/>
  <c r="B9" i="18"/>
  <c r="C8" i="18"/>
  <c r="B8" i="18"/>
  <c r="C7" i="18"/>
  <c r="B7" i="18"/>
  <c r="C6" i="18"/>
  <c r="B6" i="18"/>
  <c r="C5" i="18"/>
  <c r="B5" i="18"/>
  <c r="C4" i="18"/>
  <c r="B4" i="18"/>
  <c r="C3" i="18"/>
  <c r="B3" i="18"/>
  <c r="A1" i="18"/>
  <c r="A8" i="18"/>
  <c r="E13" i="22"/>
  <c r="BB5" i="19"/>
  <c r="BB4" i="19"/>
  <c r="E10" i="4"/>
  <c r="BN16" i="19"/>
  <c r="BM16" i="19"/>
  <c r="BL16" i="19"/>
  <c r="BK16" i="19"/>
  <c r="BJ16" i="19"/>
  <c r="BI16" i="19"/>
  <c r="BN15" i="19"/>
  <c r="BM15" i="19"/>
  <c r="BL15" i="19"/>
  <c r="BK15" i="19"/>
  <c r="BJ15" i="19"/>
  <c r="BI15" i="19"/>
  <c r="BN14" i="19"/>
  <c r="BM14" i="19"/>
  <c r="BL14" i="19"/>
  <c r="BK14" i="19"/>
  <c r="BJ14" i="19"/>
  <c r="BI14" i="19"/>
  <c r="BN13" i="19"/>
  <c r="BM13" i="19"/>
  <c r="BL13" i="19"/>
  <c r="BK13" i="19"/>
  <c r="BJ13" i="19"/>
  <c r="BI13" i="19"/>
  <c r="BN12" i="19"/>
  <c r="BM12" i="19"/>
  <c r="BL12" i="19"/>
  <c r="BK12" i="19"/>
  <c r="BJ12" i="19"/>
  <c r="BI12" i="19"/>
  <c r="BN11" i="19"/>
  <c r="BM11" i="19"/>
  <c r="BL11" i="19"/>
  <c r="BK11" i="19"/>
  <c r="BJ11" i="19"/>
  <c r="BI11" i="19"/>
  <c r="BH10" i="19"/>
  <c r="BG10" i="19"/>
  <c r="BF10" i="19"/>
  <c r="BE10" i="19"/>
  <c r="BD10" i="19"/>
  <c r="BC10" i="19"/>
  <c r="BB10" i="19"/>
  <c r="BH9" i="19"/>
  <c r="BG9" i="19"/>
  <c r="BF9" i="19"/>
  <c r="BE9" i="19"/>
  <c r="BD9" i="19"/>
  <c r="BC9" i="19"/>
  <c r="BB9" i="19"/>
  <c r="BH8" i="19"/>
  <c r="BG8" i="19"/>
  <c r="BF8" i="19"/>
  <c r="BE8" i="19"/>
  <c r="BD8" i="19"/>
  <c r="BC8" i="19"/>
  <c r="BB8" i="19"/>
  <c r="BH7" i="19"/>
  <c r="BG7" i="19"/>
  <c r="BF7" i="19"/>
  <c r="BE7" i="19"/>
  <c r="BD7" i="19"/>
  <c r="BC7" i="19"/>
  <c r="BB7" i="19"/>
  <c r="BH6" i="19"/>
  <c r="BG6" i="19"/>
  <c r="BF6" i="19"/>
  <c r="BE6" i="19"/>
  <c r="BD6" i="19"/>
  <c r="BC6" i="19"/>
  <c r="BB6" i="19"/>
  <c r="BH5" i="19"/>
  <c r="BG5" i="19"/>
  <c r="BF5" i="19"/>
  <c r="BE5" i="19"/>
  <c r="BD5" i="19"/>
  <c r="BC5" i="19"/>
  <c r="BH4" i="19"/>
  <c r="BG4" i="19"/>
  <c r="BF4" i="19"/>
  <c r="BE4" i="19"/>
  <c r="BD4" i="19"/>
  <c r="BC4" i="19"/>
  <c r="B25" i="26" l="1" a="1"/>
  <c r="L1" i="23"/>
  <c r="B27" i="26" a="1"/>
  <c r="R9" i="30"/>
  <c r="O9" i="30"/>
  <c r="I9" i="30"/>
  <c r="F9" i="30"/>
  <c r="R8" i="30"/>
  <c r="O8" i="30"/>
  <c r="I8" i="30"/>
  <c r="F8" i="30"/>
  <c r="R7" i="30"/>
  <c r="O7" i="30"/>
  <c r="I7" i="30"/>
  <c r="F7" i="30"/>
  <c r="R6" i="30"/>
  <c r="O6" i="30"/>
  <c r="I6" i="30"/>
  <c r="F6" i="30"/>
  <c r="R5" i="30"/>
  <c r="O5" i="30"/>
  <c r="I5" i="30"/>
  <c r="F5" i="30"/>
  <c r="R4" i="30"/>
  <c r="O4" i="30"/>
  <c r="I4" i="30"/>
  <c r="F4" i="30"/>
  <c r="B8" i="26" a="1"/>
  <c r="Q1" i="2" a="1"/>
  <c r="C10" i="30"/>
  <c r="E21" i="24" a="1"/>
  <c r="B20" i="26" a="1"/>
  <c r="B19" i="26" a="1"/>
  <c r="B18" i="26" a="1"/>
  <c r="B17" i="26" a="1"/>
  <c r="B16" i="26" a="1"/>
  <c r="B15" i="26" a="1"/>
  <c r="B14" i="26" a="1"/>
  <c r="B13" i="26" a="1"/>
  <c r="B12" i="26" a="1"/>
  <c r="B11" i="26" a="1"/>
  <c r="B10" i="26" a="1"/>
  <c r="B9" i="26" a="1"/>
  <c r="G23" i="30"/>
  <c r="O5" i="7" a="1"/>
  <c r="G14" i="18"/>
  <c r="B84" i="18"/>
  <c r="B70" i="18"/>
  <c r="B56" i="18"/>
  <c r="B137" i="18"/>
  <c r="B136" i="18"/>
  <c r="B135" i="18"/>
  <c r="B134" i="18"/>
  <c r="B133" i="18"/>
  <c r="B132" i="18"/>
  <c r="B131" i="18"/>
  <c r="B130" i="18"/>
  <c r="B129" i="18"/>
  <c r="B42" i="18"/>
  <c r="B128" i="18"/>
  <c r="B28" i="26" l="1"/>
  <c r="B30" i="26" s="1"/>
  <c r="D42" i="18"/>
  <c r="B112" i="18"/>
  <c r="B138" i="18"/>
  <c r="F135" i="18" s="1"/>
  <c r="D84" i="18"/>
  <c r="D70" i="18"/>
  <c r="D56" i="18"/>
  <c r="F136" i="18" l="1"/>
  <c r="F138" i="18"/>
  <c r="F137" i="18"/>
  <c r="F134" i="18"/>
  <c r="C53" i="18" l="1" a="1"/>
  <c r="C49" i="18" a="1"/>
  <c r="C54" i="18" a="1"/>
  <c r="C51" i="18" a="1"/>
  <c r="C79" i="18" a="1"/>
  <c r="C78" i="18" a="1"/>
  <c r="C77" i="18" a="1"/>
  <c r="C63" i="18" a="1"/>
  <c r="C55" i="18" a="1"/>
  <c r="C50" i="18" a="1"/>
  <c r="C46" i="18" a="1"/>
  <c r="C37" i="18" a="1"/>
  <c r="C133" i="18" s="1"/>
  <c r="C83" i="18" a="1"/>
  <c r="C81" i="18" a="1"/>
  <c r="C76" i="18" a="1"/>
  <c r="C68" i="18" a="1"/>
  <c r="C64" i="18" a="1"/>
  <c r="C60" i="18" a="1"/>
  <c r="C75" i="18" a="1"/>
  <c r="C69" i="18" a="1"/>
  <c r="C67" i="18" a="1"/>
  <c r="C65" i="18" a="1"/>
  <c r="C61" i="18" a="1"/>
  <c r="C52" i="18" a="1"/>
  <c r="C48" i="18" a="1"/>
  <c r="C39" i="18" a="1"/>
  <c r="C135" i="18" s="1"/>
  <c r="C33" i="18" a="1"/>
  <c r="C129" i="18" s="1"/>
  <c r="C82" i="18" a="1"/>
  <c r="C80" i="18" a="1"/>
  <c r="C74" i="18" a="1"/>
  <c r="C66" i="18" a="1"/>
  <c r="C62" i="18" a="1"/>
  <c r="C47" i="18" a="1"/>
  <c r="C41" i="18" a="1"/>
  <c r="C137" i="18" s="1"/>
  <c r="C40" i="18" a="1"/>
  <c r="C136" i="18" s="1"/>
  <c r="C38" i="18" a="1"/>
  <c r="C134" i="18" s="1"/>
  <c r="C36" i="18" a="1"/>
  <c r="C132" i="18" s="1"/>
  <c r="C35" i="18" a="1"/>
  <c r="C131" i="18" s="1"/>
  <c r="C34" i="18" a="1"/>
  <c r="C130" i="18" s="1"/>
  <c r="C32" i="18" a="1"/>
  <c r="C56" i="18" l="1"/>
  <c r="D118" i="18" s="1"/>
  <c r="E118" i="18" s="1"/>
  <c r="C128" i="18"/>
  <c r="C138" i="18" s="1"/>
  <c r="C42" i="18"/>
  <c r="C84" i="18"/>
  <c r="C70" i="18"/>
  <c r="D119" i="18" s="1"/>
  <c r="E119" i="18" s="1"/>
  <c r="D120" i="18" l="1"/>
  <c r="E120" i="18" s="1"/>
  <c r="AV9" i="19" l="1"/>
  <c r="AV8" i="19"/>
  <c r="AV7" i="19"/>
  <c r="AV6" i="19"/>
  <c r="AV5" i="19"/>
  <c r="AU9" i="19"/>
  <c r="AU8" i="19"/>
  <c r="AU7" i="19"/>
  <c r="AU6" i="19"/>
  <c r="AX6" i="19" s="1"/>
  <c r="AU5" i="19"/>
  <c r="AV4" i="19"/>
  <c r="AU4" i="19"/>
  <c r="AX7" i="19" l="1"/>
  <c r="AX8" i="19"/>
  <c r="AX4" i="19"/>
  <c r="AX9" i="19"/>
  <c r="AX5" i="19"/>
  <c r="C47" i="9" l="1"/>
  <c r="L8" i="19" l="1" a="1"/>
  <c r="L7" i="19" a="1"/>
  <c r="L6" i="19" a="1"/>
  <c r="L4" i="19" a="1"/>
  <c r="B6" i="19" l="1"/>
  <c r="D4" i="30" l="1" a="1"/>
  <c r="D5" i="30" a="1"/>
  <c r="D6" i="30" a="1"/>
  <c r="D7" i="30" a="1"/>
  <c r="D8" i="30" a="1"/>
  <c r="D9" i="30" a="1"/>
  <c r="G4" i="27" a="1"/>
  <c r="G5" i="30" a="1"/>
  <c r="G10" i="30" s="1"/>
  <c r="S9" i="30" a="1"/>
  <c r="P9" i="30" a="1"/>
  <c r="M9" i="30" a="1"/>
  <c r="S8" i="30" a="1"/>
  <c r="J9" i="30" a="1"/>
  <c r="U9" i="30" s="1"/>
  <c r="P8" i="30" a="1"/>
  <c r="S7" i="30" a="1"/>
  <c r="S6" i="30" a="1"/>
  <c r="M6" i="30" a="1"/>
  <c r="P5" i="30" a="1"/>
  <c r="M7" i="30" a="1"/>
  <c r="M5" i="30" a="1"/>
  <c r="S4" i="30" a="1"/>
  <c r="P4" i="30" a="1"/>
  <c r="M4" i="30" a="1"/>
  <c r="J4" i="30" a="1"/>
  <c r="M8" i="30" a="1"/>
  <c r="J7" i="30" a="1"/>
  <c r="J6" i="30" a="1"/>
  <c r="H6" i="30"/>
  <c r="H7" i="30"/>
  <c r="H8" i="30"/>
  <c r="H9" i="30"/>
  <c r="J8" i="30" a="1"/>
  <c r="P7" i="30" a="1"/>
  <c r="P6" i="30" a="1"/>
  <c r="S5" i="30" a="1"/>
  <c r="J5" i="30" a="1"/>
  <c r="B4" i="28" a="1"/>
  <c r="Q4" i="28" a="1"/>
  <c r="M4" i="28" a="1"/>
  <c r="R4" i="28" a="1"/>
  <c r="S4" i="28" a="1"/>
  <c r="T4" i="28" a="1"/>
  <c r="C4" i="28" a="1"/>
  <c r="E4" i="28" a="1"/>
  <c r="F4" i="28" a="1"/>
  <c r="L4" i="28" a="1"/>
  <c r="O4" i="28" a="1"/>
  <c r="G5" i="27" a="1"/>
  <c r="P8" i="27" a="1"/>
  <c r="D5" i="27" a="1"/>
  <c r="M5" i="27" a="1"/>
  <c r="D11" i="24" a="1"/>
  <c r="D10" i="24" a="1"/>
  <c r="J11" i="24" a="1"/>
  <c r="S4" i="24" a="1"/>
  <c r="S8" i="24" a="1"/>
  <c r="P4" i="24" a="1"/>
  <c r="D9" i="24" a="1"/>
  <c r="K25" i="9" a="1"/>
  <c r="J5" i="24" a="1"/>
  <c r="D6" i="24" a="1"/>
  <c r="M7" i="24" a="1"/>
  <c r="G4" i="28" a="1"/>
  <c r="I4" i="28" a="1"/>
  <c r="D4" i="28" a="1"/>
  <c r="H4" i="28" a="1"/>
  <c r="G6" i="27" a="1"/>
  <c r="G8" i="27" a="1"/>
  <c r="J8" i="27" a="1"/>
  <c r="D8" i="24" a="1"/>
  <c r="P10" i="24" a="1"/>
  <c r="S9" i="24" a="1"/>
  <c r="D5" i="24" a="1"/>
  <c r="J8" i="24" a="1"/>
  <c r="P7" i="24" a="1"/>
  <c r="J4" i="24" a="1"/>
  <c r="M9" i="24" a="1"/>
  <c r="A4" i="28" a="1"/>
  <c r="P4" i="27" a="1"/>
  <c r="G7" i="27" a="1"/>
  <c r="J4" i="27" a="1"/>
  <c r="S11" i="24" a="1"/>
  <c r="M10" i="24" a="1"/>
  <c r="S5" i="24" a="1"/>
  <c r="J9" i="24" a="1"/>
  <c r="M8" i="24" a="1"/>
  <c r="P8" i="24" a="1"/>
  <c r="P9" i="24" a="1"/>
  <c r="P6" i="27" a="1"/>
  <c r="J6" i="27" a="1"/>
  <c r="P7" i="27" a="1"/>
  <c r="D4" i="27" a="1"/>
  <c r="M4" i="27" a="1"/>
  <c r="P11" i="24" a="1"/>
  <c r="S10" i="24" a="1"/>
  <c r="S6" i="24" a="1"/>
  <c r="D7" i="24" a="1"/>
  <c r="M4" i="24" a="1"/>
  <c r="P5" i="24" a="1"/>
  <c r="J7" i="24" a="1"/>
  <c r="M6" i="24" a="1"/>
  <c r="J5" i="27" a="1"/>
  <c r="D6" i="27" a="1"/>
  <c r="M6" i="27" a="1"/>
  <c r="M7" i="27" a="1"/>
  <c r="J7" i="27" a="1"/>
  <c r="D8" i="27" a="1"/>
  <c r="M8" i="27" a="1"/>
  <c r="M11" i="24" a="1"/>
  <c r="J10" i="24" a="1"/>
  <c r="D4" i="24" a="1"/>
  <c r="S7" i="24" a="1"/>
  <c r="J6" i="24" a="1"/>
  <c r="M5" i="24" a="1"/>
  <c r="P6" i="24" a="1"/>
  <c r="P4" i="28" a="1"/>
  <c r="P5" i="27" a="1"/>
  <c r="N4" i="28" a="1"/>
  <c r="D7" i="27" a="1"/>
  <c r="L1" i="2"/>
  <c r="U4" i="30" l="1"/>
  <c r="U7" i="30"/>
  <c r="U6" i="30"/>
  <c r="U8" i="30"/>
  <c r="U5" i="30"/>
  <c r="R5" i="27"/>
  <c r="R4" i="27"/>
  <c r="R6" i="27"/>
  <c r="R8" i="27"/>
  <c r="R7" i="27"/>
  <c r="K9" i="30"/>
  <c r="T9" i="30"/>
  <c r="Q9" i="30"/>
  <c r="T8" i="30"/>
  <c r="Q8" i="30"/>
  <c r="K8" i="30"/>
  <c r="K7" i="30"/>
  <c r="T7" i="30"/>
  <c r="Q7" i="30"/>
  <c r="K6" i="30"/>
  <c r="T6" i="30"/>
  <c r="Q6" i="30"/>
  <c r="K5" i="30"/>
  <c r="Q5" i="30"/>
  <c r="T5" i="30"/>
  <c r="S10" i="30"/>
  <c r="P10" i="30"/>
  <c r="M10" i="30"/>
  <c r="D10" i="30"/>
  <c r="H4" i="30"/>
  <c r="M9" i="27"/>
  <c r="J9" i="27"/>
  <c r="G9" i="27"/>
  <c r="S12" i="24"/>
  <c r="P12" i="24"/>
  <c r="J12" i="24"/>
  <c r="D12" i="24"/>
  <c r="M12" i="24"/>
  <c r="J4" i="28"/>
  <c r="P9" i="27"/>
  <c r="D9" i="27"/>
  <c r="U4" i="28"/>
  <c r="C86" i="18" a="1"/>
  <c r="C88" i="18" a="1"/>
  <c r="C89" i="18" a="1"/>
  <c r="C87" i="18" a="1"/>
  <c r="R9" i="27" l="1"/>
  <c r="Q4" i="30"/>
  <c r="K4" i="30"/>
  <c r="R10" i="30"/>
  <c r="T10" i="30" s="1"/>
  <c r="E10" i="30"/>
  <c r="D17" i="30" s="1"/>
  <c r="T4" i="30"/>
  <c r="O10" i="30"/>
  <c r="Q10" i="30" s="1"/>
  <c r="I10" i="30"/>
  <c r="D121" i="18"/>
  <c r="E121" i="18" s="1"/>
  <c r="C93" i="18"/>
  <c r="C96" i="18" s="1"/>
  <c r="D122" i="18"/>
  <c r="E122" i="18" s="1"/>
  <c r="K16" i="9"/>
  <c r="K17" i="9" s="1"/>
  <c r="K21" i="9" s="1"/>
  <c r="K10" i="9"/>
  <c r="K11" i="9" s="1"/>
  <c r="B26" i="9"/>
  <c r="B25" i="9"/>
  <c r="C23" i="9"/>
  <c r="B3" i="9"/>
  <c r="F3" i="9"/>
  <c r="C3" i="9"/>
  <c r="D3" i="9"/>
  <c r="E3" i="9"/>
  <c r="G3" i="9"/>
  <c r="E6" i="9" a="1"/>
  <c r="B6" i="9" a="1"/>
  <c r="B13" i="9" a="1"/>
  <c r="E47" i="9" s="1"/>
  <c r="B17" i="9" a="1"/>
  <c r="F5" i="9" a="1"/>
  <c r="G6" i="9" a="1"/>
  <c r="D6" i="9" a="1"/>
  <c r="C6" i="9" a="1"/>
  <c r="E12" i="30" l="1"/>
  <c r="H5" i="30"/>
  <c r="F10" i="30"/>
  <c r="F6" i="9" a="1"/>
  <c r="E38" i="9" s="1"/>
  <c r="D93" i="18"/>
  <c r="K18" i="9"/>
  <c r="K19" i="9" s="1"/>
  <c r="K22" i="9" s="1"/>
  <c r="C26" i="9"/>
  <c r="Q12" i="30" l="1"/>
  <c r="H10" i="30"/>
  <c r="N19" i="30"/>
  <c r="K20" i="9"/>
  <c r="K23" i="9" s="1"/>
  <c r="K24" i="9" s="1"/>
  <c r="Q14" i="30" l="1"/>
  <c r="J10" i="30"/>
  <c r="N10" i="22"/>
  <c r="N9" i="22"/>
  <c r="N8" i="22"/>
  <c r="N7" i="22"/>
  <c r="N6" i="22"/>
  <c r="N5" i="22"/>
  <c r="O8" i="22" a="1"/>
  <c r="M8" i="22"/>
  <c r="M10" i="22"/>
  <c r="M9" i="22"/>
  <c r="M7" i="22"/>
  <c r="M6" i="22"/>
  <c r="M5" i="22"/>
  <c r="J13" i="22"/>
  <c r="C4" i="26" s="1"/>
  <c r="C5" i="26" s="1"/>
  <c r="H13" i="22"/>
  <c r="C13" i="22"/>
  <c r="O10" i="22" a="1"/>
  <c r="O9" i="22" a="1"/>
  <c r="O7" i="22" a="1"/>
  <c r="O6" i="22" a="1"/>
  <c r="O5" i="22" a="1"/>
  <c r="A1" i="22"/>
  <c r="O4" i="7" a="1"/>
  <c r="G15" i="7"/>
  <c r="T13" i="30" l="1"/>
  <c r="R14" i="30"/>
  <c r="Q17" i="30"/>
  <c r="Q19" i="30" s="1"/>
  <c r="K10" i="30"/>
  <c r="U2" i="30"/>
  <c r="B4" i="26"/>
  <c r="C101" i="18"/>
  <c r="C102" i="18" s="1"/>
  <c r="D102" i="18" s="1"/>
  <c r="C21" i="18"/>
  <c r="B19" i="18"/>
  <c r="C20" i="18"/>
  <c r="C18" i="18"/>
  <c r="B17" i="18"/>
  <c r="F17" i="18" s="1"/>
  <c r="B16" i="18"/>
  <c r="B15" i="18"/>
  <c r="B21" i="18"/>
  <c r="B20" i="18"/>
  <c r="B18" i="18"/>
  <c r="F18" i="18" s="1"/>
  <c r="C17" i="18"/>
  <c r="C16" i="18"/>
  <c r="C15" i="18"/>
  <c r="B22" i="18"/>
  <c r="C22" i="18"/>
  <c r="C19" i="18"/>
  <c r="E32" i="9"/>
  <c r="P6" i="22"/>
  <c r="P7" i="22"/>
  <c r="P9" i="22"/>
  <c r="P10" i="22"/>
  <c r="P8" i="22"/>
  <c r="P5" i="22"/>
  <c r="U13" i="30" l="1"/>
  <c r="T14" i="30"/>
  <c r="H12" i="30"/>
  <c r="K11" i="30" s="1"/>
  <c r="D18" i="30"/>
  <c r="G18" i="18"/>
  <c r="B5" i="26"/>
  <c r="D4" i="26"/>
  <c r="C20" i="26" a="1"/>
  <c r="C18" i="26" a="1"/>
  <c r="C17" i="26" a="1"/>
  <c r="C16" i="26" a="1"/>
  <c r="C15" i="26" a="1"/>
  <c r="C14" i="26" a="1"/>
  <c r="C19" i="26" a="1"/>
  <c r="C103" i="18"/>
  <c r="G17" i="18"/>
  <c r="F19" i="18"/>
  <c r="G19" i="18" s="1"/>
  <c r="F16" i="18"/>
  <c r="G16" i="18" s="1"/>
  <c r="F15" i="18"/>
  <c r="G15" i="18" s="1"/>
  <c r="B26" i="18"/>
  <c r="F20" i="18"/>
  <c r="G20" i="18"/>
  <c r="C26" i="18"/>
  <c r="P11" i="22"/>
  <c r="A1" i="7"/>
  <c r="G5" i="7"/>
  <c r="P5" i="7" s="1"/>
  <c r="G6" i="7"/>
  <c r="G7" i="7"/>
  <c r="G8" i="7"/>
  <c r="G9" i="7"/>
  <c r="G10" i="7"/>
  <c r="G11" i="7"/>
  <c r="G12" i="7"/>
  <c r="G13" i="7"/>
  <c r="G14" i="7"/>
  <c r="G16" i="7"/>
  <c r="G17" i="7"/>
  <c r="G18" i="7"/>
  <c r="G19" i="7"/>
  <c r="G20" i="7"/>
  <c r="G21" i="7"/>
  <c r="G22" i="7"/>
  <c r="B8" i="1"/>
  <c r="O6" i="7" a="1"/>
  <c r="O7" i="7" a="1"/>
  <c r="O8" i="7" a="1"/>
  <c r="O9" i="7" a="1"/>
  <c r="P9" i="7" s="1"/>
  <c r="O10" i="7" a="1"/>
  <c r="P10" i="7" s="1"/>
  <c r="U14" i="30" l="1"/>
  <c r="T17" i="30"/>
  <c r="T19" i="30" s="1"/>
  <c r="K13" i="30"/>
  <c r="H13" i="30"/>
  <c r="I12" i="30"/>
  <c r="P8" i="7"/>
  <c r="B33" i="26"/>
  <c r="D5" i="26"/>
  <c r="E6" i="26" s="1"/>
  <c r="P6" i="7"/>
  <c r="P7" i="7"/>
  <c r="F87" i="18"/>
  <c r="G87" i="18" s="1"/>
  <c r="F88" i="18"/>
  <c r="G88" i="18" s="1"/>
  <c r="F89" i="18"/>
  <c r="G89" i="18" s="1"/>
  <c r="F86" i="18"/>
  <c r="G86" i="18" s="1"/>
  <c r="F84" i="18"/>
  <c r="G84" i="18" s="1"/>
  <c r="C98" i="18"/>
  <c r="E145" i="18"/>
  <c r="F56" i="18"/>
  <c r="G56" i="18" s="1"/>
  <c r="F70" i="18"/>
  <c r="G70" i="18" s="1"/>
  <c r="F42" i="18"/>
  <c r="G42" i="18" s="1"/>
  <c r="F93" i="18"/>
  <c r="G93" i="18" s="1"/>
  <c r="C97" i="18"/>
  <c r="D97" i="18" s="1"/>
  <c r="C27" i="18"/>
  <c r="I7" i="4"/>
  <c r="I13" i="4"/>
  <c r="A1" i="20"/>
  <c r="I13" i="30" l="1"/>
  <c r="H17" i="30"/>
  <c r="H19" i="30" s="1"/>
  <c r="L13" i="30"/>
  <c r="K17" i="30"/>
  <c r="B40" i="26"/>
  <c r="D33" i="26"/>
  <c r="D98" i="18"/>
  <c r="B145" i="18"/>
  <c r="F123" i="18"/>
  <c r="D123" i="18" s="1"/>
  <c r="K5" i="7"/>
  <c r="K6" i="7"/>
  <c r="K7" i="7"/>
  <c r="K8" i="7"/>
  <c r="K9" i="7"/>
  <c r="K10" i="7"/>
  <c r="K11" i="7"/>
  <c r="K12" i="7"/>
  <c r="K13" i="7"/>
  <c r="K14" i="7"/>
  <c r="K15" i="7"/>
  <c r="K16" i="7"/>
  <c r="K17" i="7"/>
  <c r="K18" i="7"/>
  <c r="K19" i="7"/>
  <c r="K20" i="7"/>
  <c r="K21" i="7"/>
  <c r="K22" i="7"/>
  <c r="D19" i="20"/>
  <c r="L1" i="20" s="1"/>
  <c r="C19" i="20"/>
  <c r="B19" i="20"/>
  <c r="K19" i="30" l="1"/>
  <c r="X4" i="30"/>
  <c r="D124" i="18"/>
  <c r="A147" i="18"/>
  <c r="A148" i="18" s="1"/>
  <c r="E123" i="18"/>
  <c r="E124" i="18" s="1"/>
  <c r="X5" i="30" l="1"/>
  <c r="B5" i="19"/>
  <c r="A1" i="1"/>
  <c r="Y5" i="30" l="1"/>
  <c r="X6" i="30"/>
  <c r="E4" i="20"/>
  <c r="E5" i="20"/>
  <c r="C6" i="27"/>
  <c r="C4" i="27"/>
  <c r="C7" i="27"/>
  <c r="C8" i="27"/>
  <c r="C5" i="27"/>
  <c r="C5" i="24"/>
  <c r="C10" i="24"/>
  <c r="C11" i="24"/>
  <c r="C4" i="24"/>
  <c r="C6" i="24"/>
  <c r="C8" i="24"/>
  <c r="C9" i="24"/>
  <c r="E7" i="20"/>
  <c r="E10" i="20"/>
  <c r="E12" i="20"/>
  <c r="E16" i="20"/>
  <c r="E8" i="20"/>
  <c r="E11" i="20"/>
  <c r="E14" i="20"/>
  <c r="E17" i="20"/>
  <c r="C7" i="24"/>
  <c r="E6" i="20"/>
  <c r="E9" i="20"/>
  <c r="E13" i="20"/>
  <c r="E15" i="20"/>
  <c r="E18" i="20"/>
  <c r="F7" i="22"/>
  <c r="D6" i="22"/>
  <c r="G6" i="22" s="1"/>
  <c r="O15" i="22" a="1"/>
  <c r="P15" i="22" s="1"/>
  <c r="O14" i="22" a="1"/>
  <c r="P14" i="22" s="1"/>
  <c r="B23" i="9"/>
  <c r="B24" i="9"/>
  <c r="F10" i="22"/>
  <c r="D10" i="22"/>
  <c r="G10" i="22" s="1"/>
  <c r="F9" i="22"/>
  <c r="D9" i="22"/>
  <c r="G9" i="22" s="1"/>
  <c r="F8" i="22"/>
  <c r="D8" i="22"/>
  <c r="G8" i="22" s="1"/>
  <c r="D11" i="22"/>
  <c r="G11" i="22" s="1"/>
  <c r="D7" i="22"/>
  <c r="G7" i="22" s="1"/>
  <c r="F5" i="22"/>
  <c r="D5" i="22"/>
  <c r="G5" i="22" s="1"/>
  <c r="F12" i="22"/>
  <c r="D12" i="22"/>
  <c r="G12" i="22" s="1"/>
  <c r="F11" i="22"/>
  <c r="I14" i="4"/>
  <c r="I8" i="4"/>
  <c r="O6" i="27" l="1"/>
  <c r="I6" i="27"/>
  <c r="F6" i="27"/>
  <c r="O4" i="27"/>
  <c r="I4" i="27"/>
  <c r="F4" i="27"/>
  <c r="O7" i="27"/>
  <c r="I7" i="27"/>
  <c r="F7" i="27"/>
  <c r="O8" i="27"/>
  <c r="I8" i="27"/>
  <c r="F8" i="27"/>
  <c r="O5" i="27"/>
  <c r="I5" i="27"/>
  <c r="F5" i="27"/>
  <c r="Y6" i="30"/>
  <c r="X7" i="30"/>
  <c r="Y7" i="30" s="1"/>
  <c r="D19" i="30" s="1"/>
  <c r="E19" i="20"/>
  <c r="K1" i="22" s="1"/>
  <c r="L1" i="22" s="1"/>
  <c r="K6" i="27"/>
  <c r="K7" i="27"/>
  <c r="K8" i="27"/>
  <c r="K5" i="27"/>
  <c r="H8" i="27"/>
  <c r="H7" i="27"/>
  <c r="H6" i="27"/>
  <c r="C9" i="27"/>
  <c r="E9" i="27" s="1"/>
  <c r="D11" i="27" s="1"/>
  <c r="G10" i="24" a="1"/>
  <c r="F10" i="24"/>
  <c r="G11" i="24" a="1"/>
  <c r="F11" i="24"/>
  <c r="G4" i="24" a="1"/>
  <c r="F4" i="24"/>
  <c r="F6" i="24"/>
  <c r="G6" i="24" a="1"/>
  <c r="G8" i="24" a="1"/>
  <c r="F8" i="24"/>
  <c r="G9" i="24" a="1"/>
  <c r="F9" i="24"/>
  <c r="G5" i="24" a="1"/>
  <c r="F7" i="24"/>
  <c r="G7" i="24" a="1"/>
  <c r="R10" i="24"/>
  <c r="T10" i="24" s="1"/>
  <c r="O10" i="24"/>
  <c r="Q10" i="24" s="1"/>
  <c r="I10" i="24"/>
  <c r="R11" i="24"/>
  <c r="T11" i="24" s="1"/>
  <c r="I11" i="24"/>
  <c r="K11" i="24" s="1"/>
  <c r="O11" i="24"/>
  <c r="C12" i="24"/>
  <c r="E12" i="24" s="1"/>
  <c r="R4" i="24"/>
  <c r="R6" i="24"/>
  <c r="T6" i="24" s="1"/>
  <c r="R8" i="24"/>
  <c r="T8" i="24" s="1"/>
  <c r="R9" i="24"/>
  <c r="T9" i="24" s="1"/>
  <c r="R5" i="24"/>
  <c r="F5" i="24" s="1"/>
  <c r="O7" i="24"/>
  <c r="R7" i="24"/>
  <c r="T7" i="24" s="1"/>
  <c r="I4" i="24"/>
  <c r="O4" i="24"/>
  <c r="I6" i="24"/>
  <c r="O6" i="24"/>
  <c r="Q6" i="24" s="1"/>
  <c r="I8" i="24"/>
  <c r="O8" i="24"/>
  <c r="Q8" i="24" s="1"/>
  <c r="I9" i="24"/>
  <c r="O9" i="24"/>
  <c r="Q9" i="24" s="1"/>
  <c r="I5" i="24"/>
  <c r="O5" i="24"/>
  <c r="Q5" i="24" s="1"/>
  <c r="I7" i="24"/>
  <c r="D23" i="9"/>
  <c r="C24" i="9"/>
  <c r="P16" i="22"/>
  <c r="F13" i="22"/>
  <c r="D13" i="22"/>
  <c r="G13" i="22" s="1"/>
  <c r="D14" i="24" l="1"/>
  <c r="Q4" i="27"/>
  <c r="O9" i="27"/>
  <c r="Q9" i="27" s="1"/>
  <c r="H4" i="27"/>
  <c r="F9" i="27"/>
  <c r="H9" i="27" s="1"/>
  <c r="K4" i="27"/>
  <c r="I9" i="27"/>
  <c r="K9" i="27" s="1"/>
  <c r="Q8" i="27"/>
  <c r="Q7" i="27"/>
  <c r="Q6" i="27"/>
  <c r="Q5" i="27"/>
  <c r="H5" i="27"/>
  <c r="H7" i="24"/>
  <c r="F12" i="24"/>
  <c r="H9" i="24"/>
  <c r="L8" i="24"/>
  <c r="H10" i="24"/>
  <c r="H11" i="24"/>
  <c r="H8" i="24"/>
  <c r="G12" i="24"/>
  <c r="H4" i="24"/>
  <c r="H6" i="24"/>
  <c r="H5" i="24"/>
  <c r="K7" i="24"/>
  <c r="L7" i="24"/>
  <c r="Q11" i="24"/>
  <c r="L11" i="24"/>
  <c r="K10" i="24"/>
  <c r="L10" i="24"/>
  <c r="I12" i="24"/>
  <c r="K12" i="24" s="1"/>
  <c r="K14" i="24" s="1"/>
  <c r="O12" i="24"/>
  <c r="Q12" i="24" s="1"/>
  <c r="Q14" i="24" s="1"/>
  <c r="T4" i="24"/>
  <c r="R12" i="24"/>
  <c r="T12" i="24" s="1"/>
  <c r="K8" i="24"/>
  <c r="K9" i="24"/>
  <c r="L9" i="24"/>
  <c r="L4" i="24"/>
  <c r="U4" i="24" s="1"/>
  <c r="K6" i="24"/>
  <c r="L6" i="24"/>
  <c r="K5" i="24"/>
  <c r="L5" i="24"/>
  <c r="Q7" i="24"/>
  <c r="D24" i="9"/>
  <c r="F23" i="9"/>
  <c r="K4" i="24"/>
  <c r="Q4" i="24"/>
  <c r="T5" i="24"/>
  <c r="D12" i="27" l="1"/>
  <c r="L9" i="27"/>
  <c r="K16" i="24"/>
  <c r="H12" i="24"/>
  <c r="Q16" i="24"/>
  <c r="T14" i="24"/>
  <c r="T16" i="24" s="1"/>
  <c r="N11" i="24"/>
  <c r="U11" i="24"/>
  <c r="N10" i="24"/>
  <c r="U10" i="24"/>
  <c r="F24" i="9"/>
  <c r="N9" i="24"/>
  <c r="U9" i="24"/>
  <c r="L12" i="24"/>
  <c r="N12" i="24" s="1"/>
  <c r="N14" i="24" s="1"/>
  <c r="N8" i="24"/>
  <c r="U8" i="24"/>
  <c r="N4" i="24"/>
  <c r="N6" i="24"/>
  <c r="U6" i="24"/>
  <c r="N5" i="24"/>
  <c r="U5" i="24"/>
  <c r="N7" i="24"/>
  <c r="U7" i="24"/>
  <c r="X12" i="24" l="1"/>
  <c r="H14" i="24"/>
  <c r="D15" i="24"/>
  <c r="R2" i="27"/>
  <c r="N9" i="27"/>
  <c r="N16" i="24"/>
  <c r="U12" i="24"/>
  <c r="U2" i="24" s="1"/>
  <c r="X13" i="24" l="1"/>
  <c r="H16" i="24"/>
  <c r="Y13" i="24" l="1"/>
  <c r="X14" i="24"/>
  <c r="X15" i="24" s="1"/>
  <c r="X16" i="24" s="1"/>
  <c r="Y14" i="24" l="1"/>
  <c r="Y15" i="24" l="1"/>
  <c r="Y16" i="24"/>
  <c r="D16" i="24" l="1"/>
  <c r="K4" i="7" l="1"/>
  <c r="C13" i="4"/>
  <c r="K5" i="9"/>
  <c r="G4" i="7"/>
  <c r="P304" i="13"/>
  <c r="R304" i="13"/>
  <c r="J304" i="13"/>
  <c r="L304" i="13"/>
  <c r="D304" i="13"/>
  <c r="F304" i="13" s="1"/>
  <c r="P303" i="13"/>
  <c r="R303" i="13" s="1"/>
  <c r="J303" i="13"/>
  <c r="L303" i="13" s="1"/>
  <c r="D303" i="13"/>
  <c r="F303" i="13" s="1"/>
  <c r="P302" i="13"/>
  <c r="R302" i="13"/>
  <c r="J302" i="13"/>
  <c r="L302" i="13"/>
  <c r="D302" i="13"/>
  <c r="F302" i="13"/>
  <c r="P301" i="13"/>
  <c r="R301" i="13" s="1"/>
  <c r="J301" i="13"/>
  <c r="L301" i="13" s="1"/>
  <c r="F301" i="13"/>
  <c r="D301" i="13"/>
  <c r="P300" i="13"/>
  <c r="R300" i="13"/>
  <c r="J300" i="13"/>
  <c r="L300" i="13" s="1"/>
  <c r="D300" i="13"/>
  <c r="F300" i="13" s="1"/>
  <c r="P299" i="13"/>
  <c r="R299" i="13" s="1"/>
  <c r="J299" i="13"/>
  <c r="L299" i="13" s="1"/>
  <c r="D299" i="13"/>
  <c r="F299" i="13" s="1"/>
  <c r="P298" i="13"/>
  <c r="J298" i="13"/>
  <c r="L298" i="13"/>
  <c r="D298" i="13"/>
  <c r="F298" i="13" s="1"/>
  <c r="P297" i="13"/>
  <c r="R297" i="13" s="1"/>
  <c r="J297" i="13"/>
  <c r="L297" i="13" s="1"/>
  <c r="D297" i="13"/>
  <c r="F297" i="13" s="1"/>
  <c r="P296" i="13"/>
  <c r="J296" i="13"/>
  <c r="D296" i="13"/>
  <c r="W293" i="13"/>
  <c r="V293" i="13"/>
  <c r="U293" i="13"/>
  <c r="P287" i="13"/>
  <c r="R287" i="13" s="1"/>
  <c r="J287" i="13"/>
  <c r="L287" i="13" s="1"/>
  <c r="D287" i="13"/>
  <c r="F287" i="13" s="1"/>
  <c r="P286" i="13"/>
  <c r="R286" i="13" s="1"/>
  <c r="J286" i="13"/>
  <c r="L286" i="13"/>
  <c r="D286" i="13"/>
  <c r="F286" i="13" s="1"/>
  <c r="P285" i="13"/>
  <c r="R285" i="13"/>
  <c r="J285" i="13"/>
  <c r="L285" i="13" s="1"/>
  <c r="D285" i="13"/>
  <c r="F285" i="13" s="1"/>
  <c r="P284" i="13"/>
  <c r="R284" i="13" s="1"/>
  <c r="J284" i="13"/>
  <c r="L284" i="13"/>
  <c r="D284" i="13"/>
  <c r="F284" i="13"/>
  <c r="P283" i="13"/>
  <c r="R283" i="13" s="1"/>
  <c r="J283" i="13"/>
  <c r="L283" i="13" s="1"/>
  <c r="D283" i="13"/>
  <c r="F283" i="13" s="1"/>
  <c r="P282" i="13"/>
  <c r="R282" i="13" s="1"/>
  <c r="J282" i="13"/>
  <c r="L282" i="13" s="1"/>
  <c r="D282" i="13"/>
  <c r="F282" i="13" s="1"/>
  <c r="P281" i="13"/>
  <c r="R281" i="13"/>
  <c r="J281" i="13"/>
  <c r="L281" i="13" s="1"/>
  <c r="D281" i="13"/>
  <c r="F281" i="13" s="1"/>
  <c r="P280" i="13"/>
  <c r="R280" i="13"/>
  <c r="J280" i="13"/>
  <c r="L280" i="13" s="1"/>
  <c r="D280" i="13"/>
  <c r="F280" i="13" s="1"/>
  <c r="F289" i="13" s="1"/>
  <c r="P279" i="13"/>
  <c r="J279" i="13"/>
  <c r="L279" i="13" s="1"/>
  <c r="D279" i="13"/>
  <c r="W276" i="13"/>
  <c r="V276" i="13"/>
  <c r="U276" i="13"/>
  <c r="P270" i="13"/>
  <c r="R270" i="13" s="1"/>
  <c r="J270" i="13"/>
  <c r="L270" i="13"/>
  <c r="D270" i="13"/>
  <c r="F270" i="13"/>
  <c r="P269" i="13"/>
  <c r="R269" i="13" s="1"/>
  <c r="J269" i="13"/>
  <c r="L269" i="13" s="1"/>
  <c r="D269" i="13"/>
  <c r="F269" i="13"/>
  <c r="P268" i="13"/>
  <c r="R268" i="13"/>
  <c r="J268" i="13"/>
  <c r="L268" i="13" s="1"/>
  <c r="D268" i="13"/>
  <c r="F268" i="13"/>
  <c r="P267" i="13"/>
  <c r="R267" i="13" s="1"/>
  <c r="J267" i="13"/>
  <c r="L267" i="13" s="1"/>
  <c r="D267" i="13"/>
  <c r="F267" i="13" s="1"/>
  <c r="P266" i="13"/>
  <c r="R266" i="13" s="1"/>
  <c r="J266" i="13"/>
  <c r="L266" i="13"/>
  <c r="D266" i="13"/>
  <c r="F266" i="13" s="1"/>
  <c r="P265" i="13"/>
  <c r="R265" i="13" s="1"/>
  <c r="J265" i="13"/>
  <c r="L265" i="13" s="1"/>
  <c r="D265" i="13"/>
  <c r="F265" i="13"/>
  <c r="P264" i="13"/>
  <c r="J264" i="13"/>
  <c r="L264" i="13" s="1"/>
  <c r="D264" i="13"/>
  <c r="F264" i="13"/>
  <c r="P263" i="13"/>
  <c r="R263" i="13" s="1"/>
  <c r="J263" i="13"/>
  <c r="L263" i="13" s="1"/>
  <c r="D263" i="13"/>
  <c r="F263" i="13"/>
  <c r="P262" i="13"/>
  <c r="J262" i="13"/>
  <c r="D262" i="13"/>
  <c r="W259" i="13"/>
  <c r="V259" i="13"/>
  <c r="U259" i="13"/>
  <c r="P253" i="13"/>
  <c r="R253" i="13" s="1"/>
  <c r="J253" i="13"/>
  <c r="L253" i="13" s="1"/>
  <c r="D253" i="13"/>
  <c r="F253" i="13"/>
  <c r="P252" i="13"/>
  <c r="R252" i="13"/>
  <c r="J252" i="13"/>
  <c r="L252" i="13"/>
  <c r="D252" i="13"/>
  <c r="F252" i="13" s="1"/>
  <c r="F255" i="13" s="1"/>
  <c r="P251" i="13"/>
  <c r="R251" i="13" s="1"/>
  <c r="J251" i="13"/>
  <c r="L251" i="13" s="1"/>
  <c r="D251" i="13"/>
  <c r="F251" i="13"/>
  <c r="P250" i="13"/>
  <c r="R250" i="13"/>
  <c r="J250" i="13"/>
  <c r="L250" i="13"/>
  <c r="D250" i="13"/>
  <c r="F250" i="13"/>
  <c r="P249" i="13"/>
  <c r="R249" i="13" s="1"/>
  <c r="J249" i="13"/>
  <c r="L249" i="13" s="1"/>
  <c r="D249" i="13"/>
  <c r="F249" i="13"/>
  <c r="P248" i="13"/>
  <c r="R248" i="13"/>
  <c r="J248" i="13"/>
  <c r="L248" i="13"/>
  <c r="D248" i="13"/>
  <c r="F248" i="13"/>
  <c r="P247" i="13"/>
  <c r="R247" i="13" s="1"/>
  <c r="J247" i="13"/>
  <c r="L247" i="13" s="1"/>
  <c r="D247" i="13"/>
  <c r="F247" i="13" s="1"/>
  <c r="P246" i="13"/>
  <c r="J246" i="13"/>
  <c r="L246" i="13"/>
  <c r="D246" i="13"/>
  <c r="F246" i="13"/>
  <c r="P245" i="13"/>
  <c r="J245" i="13"/>
  <c r="D245" i="13"/>
  <c r="W242" i="13"/>
  <c r="V242" i="13"/>
  <c r="U242" i="13"/>
  <c r="P236" i="13"/>
  <c r="R236" i="13" s="1"/>
  <c r="J236" i="13"/>
  <c r="L236" i="13"/>
  <c r="D236" i="13"/>
  <c r="F236" i="13"/>
  <c r="P235" i="13"/>
  <c r="R235" i="13" s="1"/>
  <c r="J235" i="13"/>
  <c r="L235" i="13" s="1"/>
  <c r="D235" i="13"/>
  <c r="F235" i="13"/>
  <c r="P234" i="13"/>
  <c r="R234" i="13" s="1"/>
  <c r="J234" i="13"/>
  <c r="J238" i="13" s="1"/>
  <c r="L240" i="13" s="1"/>
  <c r="D234" i="13"/>
  <c r="F234" i="13"/>
  <c r="P233" i="13"/>
  <c r="R233" i="13" s="1"/>
  <c r="J233" i="13"/>
  <c r="L233" i="13" s="1"/>
  <c r="D233" i="13"/>
  <c r="F233" i="13"/>
  <c r="P232" i="13"/>
  <c r="R232" i="13"/>
  <c r="J232" i="13"/>
  <c r="L232" i="13" s="1"/>
  <c r="D232" i="13"/>
  <c r="F232" i="13"/>
  <c r="R231" i="13"/>
  <c r="P231" i="13"/>
  <c r="J231" i="13"/>
  <c r="L231" i="13" s="1"/>
  <c r="D231" i="13"/>
  <c r="P230" i="13"/>
  <c r="R230" i="13" s="1"/>
  <c r="J230" i="13"/>
  <c r="L230" i="13"/>
  <c r="D230" i="13"/>
  <c r="F230" i="13"/>
  <c r="P229" i="13"/>
  <c r="R229" i="13" s="1"/>
  <c r="J229" i="13"/>
  <c r="L229" i="13" s="1"/>
  <c r="D229" i="13"/>
  <c r="F229" i="13"/>
  <c r="P228" i="13"/>
  <c r="J228" i="13"/>
  <c r="D228" i="13"/>
  <c r="W225" i="13"/>
  <c r="V225" i="13"/>
  <c r="U225" i="13"/>
  <c r="P219" i="13"/>
  <c r="R219" i="13" s="1"/>
  <c r="J219" i="13"/>
  <c r="L219" i="13" s="1"/>
  <c r="F219" i="13"/>
  <c r="D219" i="13"/>
  <c r="P218" i="13"/>
  <c r="R218" i="13"/>
  <c r="R221" i="13" s="1"/>
  <c r="J218" i="13"/>
  <c r="L218" i="13" s="1"/>
  <c r="D218" i="13"/>
  <c r="F218" i="13" s="1"/>
  <c r="R217" i="13"/>
  <c r="P217" i="13"/>
  <c r="J217" i="13"/>
  <c r="L217" i="13" s="1"/>
  <c r="D217" i="13"/>
  <c r="F217" i="13"/>
  <c r="P216" i="13"/>
  <c r="R216" i="13"/>
  <c r="J216" i="13"/>
  <c r="L216" i="13" s="1"/>
  <c r="D216" i="13"/>
  <c r="F216" i="13"/>
  <c r="P215" i="13"/>
  <c r="R215" i="13" s="1"/>
  <c r="J215" i="13"/>
  <c r="L215" i="13" s="1"/>
  <c r="D215" i="13"/>
  <c r="F215" i="13" s="1"/>
  <c r="P214" i="13"/>
  <c r="R214" i="13"/>
  <c r="J214" i="13"/>
  <c r="L214" i="13"/>
  <c r="D214" i="13"/>
  <c r="F214" i="13"/>
  <c r="R213" i="13"/>
  <c r="P213" i="13"/>
  <c r="J213" i="13"/>
  <c r="L213" i="13" s="1"/>
  <c r="D213" i="13"/>
  <c r="F213" i="13" s="1"/>
  <c r="P212" i="13"/>
  <c r="R212" i="13"/>
  <c r="J212" i="13"/>
  <c r="D212" i="13"/>
  <c r="F212" i="13"/>
  <c r="P211" i="13"/>
  <c r="J211" i="13"/>
  <c r="D211" i="13"/>
  <c r="F211" i="13"/>
  <c r="F221" i="13" s="1"/>
  <c r="W208" i="13"/>
  <c r="V208" i="13"/>
  <c r="U208" i="13"/>
  <c r="P202" i="13"/>
  <c r="R202" i="13" s="1"/>
  <c r="L202" i="13"/>
  <c r="J202" i="13"/>
  <c r="D202" i="13"/>
  <c r="F202" i="13"/>
  <c r="P201" i="13"/>
  <c r="R201" i="13"/>
  <c r="J201" i="13"/>
  <c r="L201" i="13"/>
  <c r="D201" i="13"/>
  <c r="F201" i="13"/>
  <c r="P200" i="13"/>
  <c r="R200" i="13" s="1"/>
  <c r="J200" i="13"/>
  <c r="L200" i="13" s="1"/>
  <c r="D200" i="13"/>
  <c r="F200" i="13"/>
  <c r="P199" i="13"/>
  <c r="R199" i="13"/>
  <c r="J199" i="13"/>
  <c r="L199" i="13"/>
  <c r="D199" i="13"/>
  <c r="F199" i="13" s="1"/>
  <c r="P198" i="13"/>
  <c r="R198" i="13" s="1"/>
  <c r="J198" i="13"/>
  <c r="L198" i="13" s="1"/>
  <c r="D198" i="13"/>
  <c r="F198" i="13"/>
  <c r="P197" i="13"/>
  <c r="R197" i="13"/>
  <c r="J197" i="13"/>
  <c r="L197" i="13" s="1"/>
  <c r="F197" i="13"/>
  <c r="D197" i="13"/>
  <c r="P196" i="13"/>
  <c r="R196" i="13"/>
  <c r="J196" i="13"/>
  <c r="D196" i="13"/>
  <c r="F196" i="13"/>
  <c r="P195" i="13"/>
  <c r="R195" i="13" s="1"/>
  <c r="J195" i="13"/>
  <c r="L195" i="13" s="1"/>
  <c r="D195" i="13"/>
  <c r="F195" i="13" s="1"/>
  <c r="P194" i="13"/>
  <c r="L194" i="13"/>
  <c r="J194" i="13"/>
  <c r="D194" i="13"/>
  <c r="W191" i="13"/>
  <c r="V191" i="13"/>
  <c r="U191" i="13"/>
  <c r="R185" i="13"/>
  <c r="P185" i="13"/>
  <c r="J185" i="13"/>
  <c r="L185" i="13" s="1"/>
  <c r="D185" i="13"/>
  <c r="F185" i="13"/>
  <c r="P184" i="13"/>
  <c r="R184" i="13" s="1"/>
  <c r="J184" i="13"/>
  <c r="L184" i="13" s="1"/>
  <c r="D184" i="13"/>
  <c r="F184" i="13" s="1"/>
  <c r="P183" i="13"/>
  <c r="R183" i="13"/>
  <c r="J183" i="13"/>
  <c r="D183" i="13"/>
  <c r="F183" i="13" s="1"/>
  <c r="P182" i="13"/>
  <c r="R182" i="13" s="1"/>
  <c r="J182" i="13"/>
  <c r="L182" i="13" s="1"/>
  <c r="D182" i="13"/>
  <c r="F182" i="13"/>
  <c r="P181" i="13"/>
  <c r="R181" i="13" s="1"/>
  <c r="J181" i="13"/>
  <c r="L181" i="13"/>
  <c r="D181" i="13"/>
  <c r="F181" i="13" s="1"/>
  <c r="P180" i="13"/>
  <c r="R180" i="13" s="1"/>
  <c r="L180" i="13"/>
  <c r="J180" i="13"/>
  <c r="D180" i="13"/>
  <c r="F180" i="13" s="1"/>
  <c r="P179" i="13"/>
  <c r="R179" i="13" s="1"/>
  <c r="J179" i="13"/>
  <c r="L179" i="13"/>
  <c r="D179" i="13"/>
  <c r="F179" i="13"/>
  <c r="P178" i="13"/>
  <c r="R178" i="13" s="1"/>
  <c r="J178" i="13"/>
  <c r="L178" i="13" s="1"/>
  <c r="D178" i="13"/>
  <c r="F178" i="13"/>
  <c r="F187" i="13" s="1"/>
  <c r="P177" i="13"/>
  <c r="J177" i="13"/>
  <c r="L177" i="13" s="1"/>
  <c r="D177" i="13"/>
  <c r="F177" i="13" s="1"/>
  <c r="W174" i="13"/>
  <c r="V174" i="13"/>
  <c r="U174" i="13"/>
  <c r="P168" i="13"/>
  <c r="R168" i="13"/>
  <c r="J168" i="13"/>
  <c r="L168" i="13"/>
  <c r="D168" i="13"/>
  <c r="F168" i="13" s="1"/>
  <c r="P167" i="13"/>
  <c r="R167" i="13"/>
  <c r="J167" i="13"/>
  <c r="L167" i="13" s="1"/>
  <c r="D167" i="13"/>
  <c r="F167" i="13" s="1"/>
  <c r="P166" i="13"/>
  <c r="R166" i="13"/>
  <c r="J166" i="13"/>
  <c r="L166" i="13"/>
  <c r="D166" i="13"/>
  <c r="F166" i="13"/>
  <c r="P165" i="13"/>
  <c r="R165" i="13" s="1"/>
  <c r="J165" i="13"/>
  <c r="L165" i="13"/>
  <c r="D165" i="13"/>
  <c r="F165" i="13" s="1"/>
  <c r="P164" i="13"/>
  <c r="R164" i="13"/>
  <c r="J164" i="13"/>
  <c r="L164" i="13"/>
  <c r="D164" i="13"/>
  <c r="F164" i="13" s="1"/>
  <c r="P163" i="13"/>
  <c r="R163" i="13" s="1"/>
  <c r="R170" i="13" s="1"/>
  <c r="J163" i="13"/>
  <c r="L163" i="13"/>
  <c r="D163" i="13"/>
  <c r="F163" i="13" s="1"/>
  <c r="P162" i="13"/>
  <c r="R162" i="13" s="1"/>
  <c r="J162" i="13"/>
  <c r="L162" i="13"/>
  <c r="D162" i="13"/>
  <c r="F162" i="13" s="1"/>
  <c r="P161" i="13"/>
  <c r="R161" i="13" s="1"/>
  <c r="J161" i="13"/>
  <c r="J170" i="13" s="1"/>
  <c r="L172" i="13" s="1"/>
  <c r="D161" i="13"/>
  <c r="F161" i="13" s="1"/>
  <c r="P160" i="13"/>
  <c r="R160" i="13"/>
  <c r="J160" i="13"/>
  <c r="D160" i="13"/>
  <c r="W157" i="13"/>
  <c r="V157" i="13"/>
  <c r="U157" i="13"/>
  <c r="P151" i="13"/>
  <c r="R151" i="13"/>
  <c r="L151" i="13"/>
  <c r="J151" i="13"/>
  <c r="D151" i="13"/>
  <c r="F151" i="13"/>
  <c r="P150" i="13"/>
  <c r="R150" i="13"/>
  <c r="J150" i="13"/>
  <c r="L150" i="13" s="1"/>
  <c r="D150" i="13"/>
  <c r="F150" i="13" s="1"/>
  <c r="P149" i="13"/>
  <c r="R149" i="13"/>
  <c r="J149" i="13"/>
  <c r="D149" i="13"/>
  <c r="F149" i="13"/>
  <c r="P148" i="13"/>
  <c r="R148" i="13" s="1"/>
  <c r="J148" i="13"/>
  <c r="L148" i="13"/>
  <c r="D148" i="13"/>
  <c r="F148" i="13"/>
  <c r="P147" i="13"/>
  <c r="R147" i="13"/>
  <c r="J147" i="13"/>
  <c r="L147" i="13"/>
  <c r="D147" i="13"/>
  <c r="F147" i="13" s="1"/>
  <c r="P146" i="13"/>
  <c r="P153" i="13" s="1"/>
  <c r="R155" i="13" s="1"/>
  <c r="R146" i="13"/>
  <c r="J146" i="13"/>
  <c r="L146" i="13"/>
  <c r="D146" i="13"/>
  <c r="F146" i="13" s="1"/>
  <c r="P145" i="13"/>
  <c r="R145" i="13"/>
  <c r="J145" i="13"/>
  <c r="L145" i="13"/>
  <c r="D145" i="13"/>
  <c r="F145" i="13" s="1"/>
  <c r="P144" i="13"/>
  <c r="R144" i="13"/>
  <c r="J144" i="13"/>
  <c r="L144" i="13"/>
  <c r="D144" i="13"/>
  <c r="F144" i="13" s="1"/>
  <c r="P143" i="13"/>
  <c r="J143" i="13"/>
  <c r="L143" i="13" s="1"/>
  <c r="D143" i="13"/>
  <c r="W140" i="13"/>
  <c r="V140" i="13"/>
  <c r="U140" i="13"/>
  <c r="R134" i="13"/>
  <c r="P134" i="13"/>
  <c r="J134" i="13"/>
  <c r="L134" i="13"/>
  <c r="D134" i="13"/>
  <c r="F134" i="13" s="1"/>
  <c r="P133" i="13"/>
  <c r="R133" i="13" s="1"/>
  <c r="J133" i="13"/>
  <c r="L133" i="13"/>
  <c r="D133" i="13"/>
  <c r="F133" i="13"/>
  <c r="P132" i="13"/>
  <c r="R132" i="13" s="1"/>
  <c r="J132" i="13"/>
  <c r="L132" i="13"/>
  <c r="D132" i="13"/>
  <c r="F132" i="13" s="1"/>
  <c r="P131" i="13"/>
  <c r="R131" i="13" s="1"/>
  <c r="J131" i="13"/>
  <c r="L131" i="13" s="1"/>
  <c r="D131" i="13"/>
  <c r="F131" i="13"/>
  <c r="P130" i="13"/>
  <c r="J130" i="13"/>
  <c r="L130" i="13"/>
  <c r="D130" i="13"/>
  <c r="F130" i="13" s="1"/>
  <c r="P129" i="13"/>
  <c r="R129" i="13" s="1"/>
  <c r="J129" i="13"/>
  <c r="L129" i="13" s="1"/>
  <c r="D129" i="13"/>
  <c r="F129" i="13"/>
  <c r="P128" i="13"/>
  <c r="R128" i="13" s="1"/>
  <c r="J128" i="13"/>
  <c r="L128" i="13"/>
  <c r="F128" i="13"/>
  <c r="D128" i="13"/>
  <c r="P127" i="13"/>
  <c r="R127" i="13" s="1"/>
  <c r="J127" i="13"/>
  <c r="L127" i="13" s="1"/>
  <c r="D127" i="13"/>
  <c r="F127" i="13"/>
  <c r="R126" i="13"/>
  <c r="P126" i="13"/>
  <c r="J126" i="13"/>
  <c r="L126" i="13" s="1"/>
  <c r="D126" i="13"/>
  <c r="F126" i="13"/>
  <c r="W123" i="13"/>
  <c r="V123" i="13"/>
  <c r="U123" i="13"/>
  <c r="P117" i="13"/>
  <c r="R117" i="13" s="1"/>
  <c r="J117" i="13"/>
  <c r="L117" i="13"/>
  <c r="D117" i="13"/>
  <c r="F117" i="13" s="1"/>
  <c r="P116" i="13"/>
  <c r="R116" i="13" s="1"/>
  <c r="J116" i="13"/>
  <c r="L116" i="13" s="1"/>
  <c r="D116" i="13"/>
  <c r="F116" i="13" s="1"/>
  <c r="P115" i="13"/>
  <c r="R115" i="13"/>
  <c r="J115" i="13"/>
  <c r="L115" i="13"/>
  <c r="D115" i="13"/>
  <c r="F115" i="13" s="1"/>
  <c r="P114" i="13"/>
  <c r="R114" i="13"/>
  <c r="J114" i="13"/>
  <c r="L114" i="13" s="1"/>
  <c r="D114" i="13"/>
  <c r="F114" i="13" s="1"/>
  <c r="P113" i="13"/>
  <c r="R113" i="13" s="1"/>
  <c r="J113" i="13"/>
  <c r="L113" i="13"/>
  <c r="D113" i="13"/>
  <c r="F113" i="13" s="1"/>
  <c r="P112" i="13"/>
  <c r="R112" i="13"/>
  <c r="J112" i="13"/>
  <c r="L112" i="13" s="1"/>
  <c r="D112" i="13"/>
  <c r="F112" i="13" s="1"/>
  <c r="P111" i="13"/>
  <c r="R111" i="13"/>
  <c r="J111" i="13"/>
  <c r="L111" i="13" s="1"/>
  <c r="D111" i="13"/>
  <c r="F111" i="13" s="1"/>
  <c r="P110" i="13"/>
  <c r="R110" i="13"/>
  <c r="J110" i="13"/>
  <c r="L110" i="13" s="1"/>
  <c r="L119" i="13" s="1"/>
  <c r="D110" i="13"/>
  <c r="F110" i="13" s="1"/>
  <c r="P109" i="13"/>
  <c r="J109" i="13"/>
  <c r="L109" i="13"/>
  <c r="D109" i="13"/>
  <c r="W106" i="13"/>
  <c r="V106" i="13"/>
  <c r="U106" i="13"/>
  <c r="P100" i="13"/>
  <c r="R100" i="13"/>
  <c r="J100" i="13"/>
  <c r="L100" i="13" s="1"/>
  <c r="D100" i="13"/>
  <c r="F100" i="13" s="1"/>
  <c r="P99" i="13"/>
  <c r="R99" i="13" s="1"/>
  <c r="J99" i="13"/>
  <c r="L99" i="13"/>
  <c r="D99" i="13"/>
  <c r="F99" i="13" s="1"/>
  <c r="P98" i="13"/>
  <c r="R98" i="13" s="1"/>
  <c r="J98" i="13"/>
  <c r="L98" i="13" s="1"/>
  <c r="D98" i="13"/>
  <c r="F98" i="13" s="1"/>
  <c r="P97" i="13"/>
  <c r="J97" i="13"/>
  <c r="L97" i="13"/>
  <c r="D97" i="13"/>
  <c r="F97" i="13" s="1"/>
  <c r="P96" i="13"/>
  <c r="R96" i="13"/>
  <c r="J96" i="13"/>
  <c r="L96" i="13" s="1"/>
  <c r="D96" i="13"/>
  <c r="F96" i="13" s="1"/>
  <c r="P95" i="13"/>
  <c r="R95" i="13"/>
  <c r="J95" i="13"/>
  <c r="L95" i="13"/>
  <c r="D95" i="13"/>
  <c r="F95" i="13" s="1"/>
  <c r="P94" i="13"/>
  <c r="R94" i="13"/>
  <c r="J94" i="13"/>
  <c r="L94" i="13" s="1"/>
  <c r="D94" i="13"/>
  <c r="F94" i="13" s="1"/>
  <c r="P93" i="13"/>
  <c r="R93" i="13"/>
  <c r="J93" i="13"/>
  <c r="L93" i="13"/>
  <c r="D93" i="13"/>
  <c r="F93" i="13" s="1"/>
  <c r="P92" i="13"/>
  <c r="J92" i="13"/>
  <c r="L92" i="13" s="1"/>
  <c r="D92" i="13"/>
  <c r="W89" i="13"/>
  <c r="V89" i="13"/>
  <c r="U89" i="13"/>
  <c r="P83" i="13"/>
  <c r="R83" i="13"/>
  <c r="J83" i="13"/>
  <c r="L83" i="13" s="1"/>
  <c r="D83" i="13"/>
  <c r="F83" i="13"/>
  <c r="P82" i="13"/>
  <c r="R82" i="13" s="1"/>
  <c r="L82" i="13"/>
  <c r="J82" i="13"/>
  <c r="D82" i="13"/>
  <c r="F82" i="13" s="1"/>
  <c r="P81" i="13"/>
  <c r="R81" i="13"/>
  <c r="J81" i="13"/>
  <c r="D81" i="13"/>
  <c r="F81" i="13"/>
  <c r="P80" i="13"/>
  <c r="R80" i="13" s="1"/>
  <c r="J80" i="13"/>
  <c r="L80" i="13" s="1"/>
  <c r="D80" i="13"/>
  <c r="F80" i="13"/>
  <c r="P79" i="13"/>
  <c r="R79" i="13" s="1"/>
  <c r="J79" i="13"/>
  <c r="L79" i="13" s="1"/>
  <c r="D79" i="13"/>
  <c r="F79" i="13"/>
  <c r="P78" i="13"/>
  <c r="J78" i="13"/>
  <c r="L78" i="13" s="1"/>
  <c r="D78" i="13"/>
  <c r="F78" i="13"/>
  <c r="P77" i="13"/>
  <c r="R77" i="13"/>
  <c r="J77" i="13"/>
  <c r="L77" i="13" s="1"/>
  <c r="D77" i="13"/>
  <c r="F77" i="13"/>
  <c r="P76" i="13"/>
  <c r="R76" i="13" s="1"/>
  <c r="J76" i="13"/>
  <c r="L76" i="13" s="1"/>
  <c r="D76" i="13"/>
  <c r="D85" i="13" s="1"/>
  <c r="F87" i="13" s="1"/>
  <c r="F76" i="13"/>
  <c r="F85" i="13" s="1"/>
  <c r="P75" i="13"/>
  <c r="R75" i="13" s="1"/>
  <c r="J75" i="13"/>
  <c r="L75" i="13"/>
  <c r="D75" i="13"/>
  <c r="W72" i="13"/>
  <c r="V72" i="13"/>
  <c r="U72" i="13"/>
  <c r="P66" i="13"/>
  <c r="R66" i="13"/>
  <c r="J66" i="13"/>
  <c r="L66" i="13" s="1"/>
  <c r="D66" i="13"/>
  <c r="F66" i="13"/>
  <c r="P65" i="13"/>
  <c r="R65" i="13"/>
  <c r="J65" i="13"/>
  <c r="L65" i="13" s="1"/>
  <c r="D65" i="13"/>
  <c r="F65" i="13"/>
  <c r="P64" i="13"/>
  <c r="R64" i="13"/>
  <c r="J64" i="13"/>
  <c r="L64" i="13" s="1"/>
  <c r="D64" i="13"/>
  <c r="F64" i="13"/>
  <c r="P63" i="13"/>
  <c r="R63" i="13"/>
  <c r="J63" i="13"/>
  <c r="L63" i="13" s="1"/>
  <c r="D63" i="13"/>
  <c r="F63" i="13"/>
  <c r="P62" i="13"/>
  <c r="R62" i="13"/>
  <c r="J62" i="13"/>
  <c r="L62" i="13" s="1"/>
  <c r="D62" i="13"/>
  <c r="F62" i="13"/>
  <c r="P61" i="13"/>
  <c r="R61" i="13"/>
  <c r="J61" i="13"/>
  <c r="L61" i="13"/>
  <c r="D61" i="13"/>
  <c r="F61" i="13"/>
  <c r="P60" i="13"/>
  <c r="R60" i="13"/>
  <c r="J60" i="13"/>
  <c r="L60" i="13" s="1"/>
  <c r="D60" i="13"/>
  <c r="D68" i="13" s="1"/>
  <c r="F70" i="13" s="1"/>
  <c r="P59" i="13"/>
  <c r="R59" i="13"/>
  <c r="J59" i="13"/>
  <c r="L59" i="13" s="1"/>
  <c r="D59" i="13"/>
  <c r="F59" i="13"/>
  <c r="P58" i="13"/>
  <c r="R58" i="13"/>
  <c r="J58" i="13"/>
  <c r="D58" i="13"/>
  <c r="F58" i="13"/>
  <c r="W55" i="13"/>
  <c r="V55" i="13"/>
  <c r="U55" i="13"/>
  <c r="P49" i="13"/>
  <c r="R49" i="13" s="1"/>
  <c r="J49" i="13"/>
  <c r="L49" i="13"/>
  <c r="D49" i="13"/>
  <c r="F49" i="13"/>
  <c r="P48" i="13"/>
  <c r="R48" i="13" s="1"/>
  <c r="J48" i="13"/>
  <c r="L48" i="13" s="1"/>
  <c r="D48" i="13"/>
  <c r="F48" i="13"/>
  <c r="P47" i="13"/>
  <c r="R47" i="13"/>
  <c r="J47" i="13"/>
  <c r="L47" i="13"/>
  <c r="D47" i="13"/>
  <c r="F47" i="13"/>
  <c r="P46" i="13"/>
  <c r="R46" i="13" s="1"/>
  <c r="J46" i="13"/>
  <c r="L46" i="13"/>
  <c r="D46" i="13"/>
  <c r="F46" i="13"/>
  <c r="P45" i="13"/>
  <c r="R45" i="13"/>
  <c r="J45" i="13"/>
  <c r="L45" i="13"/>
  <c r="D45" i="13"/>
  <c r="F45" i="13"/>
  <c r="P44" i="13"/>
  <c r="R44" i="13" s="1"/>
  <c r="J44" i="13"/>
  <c r="L44" i="13"/>
  <c r="D44" i="13"/>
  <c r="F44" i="13"/>
  <c r="P43" i="13"/>
  <c r="R43" i="13"/>
  <c r="J43" i="13"/>
  <c r="L43" i="13"/>
  <c r="D43" i="13"/>
  <c r="F43" i="13"/>
  <c r="P42" i="13"/>
  <c r="R42" i="13" s="1"/>
  <c r="J42" i="13"/>
  <c r="L42" i="13"/>
  <c r="D42" i="13"/>
  <c r="F42" i="13"/>
  <c r="P41" i="13"/>
  <c r="R41" i="13" s="1"/>
  <c r="R51" i="13" s="1"/>
  <c r="J41" i="13"/>
  <c r="D41" i="13"/>
  <c r="F41" i="13" s="1"/>
  <c r="F51" i="13" s="1"/>
  <c r="W38" i="13"/>
  <c r="V38" i="13"/>
  <c r="U38" i="13"/>
  <c r="P32" i="13"/>
  <c r="R32" i="13"/>
  <c r="J32" i="13"/>
  <c r="L32" i="13" s="1"/>
  <c r="D32" i="13"/>
  <c r="F32" i="13"/>
  <c r="P31" i="13"/>
  <c r="R31" i="13" s="1"/>
  <c r="J31" i="13"/>
  <c r="L31" i="13" s="1"/>
  <c r="D31" i="13"/>
  <c r="F31" i="13"/>
  <c r="P30" i="13"/>
  <c r="R30" i="13"/>
  <c r="R34" i="13" s="1"/>
  <c r="J30" i="13"/>
  <c r="L30" i="13" s="1"/>
  <c r="D30" i="13"/>
  <c r="F30" i="13"/>
  <c r="P29" i="13"/>
  <c r="R29" i="13" s="1"/>
  <c r="J29" i="13"/>
  <c r="L29" i="13" s="1"/>
  <c r="D29" i="13"/>
  <c r="F29" i="13"/>
  <c r="P28" i="13"/>
  <c r="R28" i="13"/>
  <c r="J28" i="13"/>
  <c r="L28" i="13" s="1"/>
  <c r="D28" i="13"/>
  <c r="F28" i="13"/>
  <c r="P27" i="13"/>
  <c r="R27" i="13" s="1"/>
  <c r="J27" i="13"/>
  <c r="L27" i="13" s="1"/>
  <c r="D27" i="13"/>
  <c r="F27" i="13" s="1"/>
  <c r="P26" i="13"/>
  <c r="R26" i="13"/>
  <c r="J26" i="13"/>
  <c r="L26" i="13" s="1"/>
  <c r="D26" i="13"/>
  <c r="F26" i="13" s="1"/>
  <c r="P25" i="13"/>
  <c r="R25" i="13" s="1"/>
  <c r="J25" i="13"/>
  <c r="L25" i="13" s="1"/>
  <c r="D25" i="13"/>
  <c r="P24" i="13"/>
  <c r="R24" i="13"/>
  <c r="J24" i="13"/>
  <c r="D24" i="13"/>
  <c r="F24" i="13"/>
  <c r="W21" i="13"/>
  <c r="V21" i="13"/>
  <c r="U21" i="13"/>
  <c r="P15" i="13"/>
  <c r="R15" i="13" s="1"/>
  <c r="J15" i="13"/>
  <c r="L15" i="13" s="1"/>
  <c r="D15" i="13"/>
  <c r="F15" i="13"/>
  <c r="P14" i="13"/>
  <c r="R14" i="13" s="1"/>
  <c r="J14" i="13"/>
  <c r="L14" i="13"/>
  <c r="D14" i="13"/>
  <c r="F14" i="13" s="1"/>
  <c r="P13" i="13"/>
  <c r="R13" i="13" s="1"/>
  <c r="J13" i="13"/>
  <c r="L13" i="13" s="1"/>
  <c r="D13" i="13"/>
  <c r="F13" i="13"/>
  <c r="P12" i="13"/>
  <c r="R12" i="13" s="1"/>
  <c r="J12" i="13"/>
  <c r="L12" i="13"/>
  <c r="D12" i="13"/>
  <c r="F12" i="13" s="1"/>
  <c r="P11" i="13"/>
  <c r="R11" i="13" s="1"/>
  <c r="J11" i="13"/>
  <c r="L11" i="13"/>
  <c r="D11" i="13"/>
  <c r="F11" i="13"/>
  <c r="P10" i="13"/>
  <c r="R10" i="13" s="1"/>
  <c r="J10" i="13"/>
  <c r="L10" i="13"/>
  <c r="D10" i="13"/>
  <c r="F10" i="13" s="1"/>
  <c r="P9" i="13"/>
  <c r="R9" i="13" s="1"/>
  <c r="J9" i="13"/>
  <c r="L9" i="13" s="1"/>
  <c r="D9" i="13"/>
  <c r="F9" i="13"/>
  <c r="P8" i="13"/>
  <c r="R8" i="13" s="1"/>
  <c r="J8" i="13"/>
  <c r="D8" i="13"/>
  <c r="F8" i="13" s="1"/>
  <c r="P7" i="13"/>
  <c r="J7" i="13"/>
  <c r="L7" i="13"/>
  <c r="D7" i="13"/>
  <c r="W4" i="13"/>
  <c r="V4" i="13"/>
  <c r="U4" i="13"/>
  <c r="I15" i="12"/>
  <c r="K15" i="12"/>
  <c r="C15" i="12"/>
  <c r="E15" i="12"/>
  <c r="I14" i="12"/>
  <c r="K14" i="12"/>
  <c r="E14" i="12"/>
  <c r="C14" i="12"/>
  <c r="I13" i="12"/>
  <c r="K13" i="12" s="1"/>
  <c r="C13" i="12"/>
  <c r="E13" i="12"/>
  <c r="I12" i="12"/>
  <c r="K12" i="12"/>
  <c r="C12" i="12"/>
  <c r="E12" i="12" s="1"/>
  <c r="I11" i="12"/>
  <c r="K11" i="12"/>
  <c r="E11" i="12"/>
  <c r="C11" i="12"/>
  <c r="I10" i="12"/>
  <c r="K10" i="12"/>
  <c r="C10" i="12"/>
  <c r="E10" i="12" s="1"/>
  <c r="I9" i="12"/>
  <c r="K9" i="12"/>
  <c r="C9" i="12"/>
  <c r="E9" i="12"/>
  <c r="I8" i="12"/>
  <c r="K8" i="12"/>
  <c r="C8" i="12"/>
  <c r="E8" i="12" s="1"/>
  <c r="I7" i="12"/>
  <c r="K7" i="12" s="1"/>
  <c r="C7" i="12"/>
  <c r="E7" i="12"/>
  <c r="I6" i="12"/>
  <c r="K6" i="12" s="1"/>
  <c r="C6" i="12"/>
  <c r="E6" i="12"/>
  <c r="I5" i="12"/>
  <c r="K5" i="12" s="1"/>
  <c r="C5" i="12"/>
  <c r="E5" i="12" s="1"/>
  <c r="D51" i="13"/>
  <c r="F53" i="13" s="1"/>
  <c r="J255" i="13"/>
  <c r="L257" i="13"/>
  <c r="L228" i="13"/>
  <c r="L245" i="13"/>
  <c r="R262" i="13"/>
  <c r="F279" i="13"/>
  <c r="R92" i="13"/>
  <c r="D221" i="13"/>
  <c r="F223" i="13" s="1"/>
  <c r="R211" i="13"/>
  <c r="F245" i="13"/>
  <c r="R245" i="13"/>
  <c r="P68" i="13"/>
  <c r="R70" i="13"/>
  <c r="F7" i="13"/>
  <c r="F17" i="13" s="1"/>
  <c r="L24" i="13"/>
  <c r="L34" i="13" s="1"/>
  <c r="L58" i="13"/>
  <c r="F75" i="13"/>
  <c r="P119" i="13"/>
  <c r="R121" i="13" s="1"/>
  <c r="R109" i="13"/>
  <c r="F109" i="13"/>
  <c r="P170" i="13"/>
  <c r="R172" i="13" s="1"/>
  <c r="R143" i="13"/>
  <c r="L160" i="13"/>
  <c r="F194" i="13"/>
  <c r="F204" i="13"/>
  <c r="L211" i="13"/>
  <c r="F228" i="13"/>
  <c r="F296" i="13"/>
  <c r="R296" i="13"/>
  <c r="C14" i="4"/>
  <c r="C25" i="9"/>
  <c r="P4" i="7" l="1"/>
  <c r="P11" i="7" s="1" a="1"/>
  <c r="C23" i="26" s="1"/>
  <c r="D27" i="9"/>
  <c r="L183" i="13"/>
  <c r="J187" i="13"/>
  <c r="L189" i="13" s="1"/>
  <c r="P187" i="13"/>
  <c r="R189" i="13" s="1"/>
  <c r="R177" i="13"/>
  <c r="R187" i="13" s="1"/>
  <c r="K17" i="12"/>
  <c r="R78" i="13"/>
  <c r="R85" i="13" s="1"/>
  <c r="P85" i="13"/>
  <c r="R87" i="13" s="1"/>
  <c r="O2" i="13"/>
  <c r="R119" i="13"/>
  <c r="P102" i="13"/>
  <c r="R104" i="13" s="1"/>
  <c r="L102" i="13"/>
  <c r="F160" i="13"/>
  <c r="F170" i="13" s="1"/>
  <c r="D170" i="13"/>
  <c r="F172" i="13" s="1"/>
  <c r="J17" i="13"/>
  <c r="L19" i="13" s="1"/>
  <c r="F143" i="13"/>
  <c r="F153" i="13" s="1"/>
  <c r="D153" i="13"/>
  <c r="F155" i="13" s="1"/>
  <c r="R246" i="13"/>
  <c r="R255" i="13" s="1"/>
  <c r="P255" i="13"/>
  <c r="R257" i="13" s="1"/>
  <c r="D272" i="13"/>
  <c r="F274" i="13" s="1"/>
  <c r="F262" i="13"/>
  <c r="F272" i="13" s="1"/>
  <c r="J68" i="13"/>
  <c r="L70" i="13" s="1"/>
  <c r="L153" i="13"/>
  <c r="L262" i="13"/>
  <c r="L272" i="13" s="1"/>
  <c r="J272" i="13"/>
  <c r="L274" i="13" s="1"/>
  <c r="R130" i="13"/>
  <c r="R136" i="13" s="1"/>
  <c r="P136" i="13"/>
  <c r="R138" i="13" s="1"/>
  <c r="L81" i="13"/>
  <c r="L85" i="13" s="1"/>
  <c r="J85" i="13"/>
  <c r="L87" i="13" s="1"/>
  <c r="L234" i="13"/>
  <c r="L238" i="13" s="1"/>
  <c r="D34" i="13"/>
  <c r="F36" i="13" s="1"/>
  <c r="F25" i="13"/>
  <c r="F34" i="13" s="1"/>
  <c r="L289" i="13"/>
  <c r="L296" i="13"/>
  <c r="L306" i="13" s="1"/>
  <c r="J306" i="13"/>
  <c r="L308" i="13" s="1"/>
  <c r="L196" i="13"/>
  <c r="J204" i="13"/>
  <c r="L206" i="13" s="1"/>
  <c r="P17" i="13"/>
  <c r="R19" i="13" s="1"/>
  <c r="F136" i="13"/>
  <c r="J136" i="13"/>
  <c r="L138" i="13" s="1"/>
  <c r="L41" i="13"/>
  <c r="L51" i="13" s="1"/>
  <c r="J51" i="13"/>
  <c r="L53" i="13" s="1"/>
  <c r="F60" i="13"/>
  <c r="F68" i="13" s="1"/>
  <c r="D136" i="13"/>
  <c r="F138" i="13" s="1"/>
  <c r="D204" i="13"/>
  <c r="F206" i="13" s="1"/>
  <c r="P221" i="13"/>
  <c r="R223" i="13" s="1"/>
  <c r="L255" i="13"/>
  <c r="E17" i="12"/>
  <c r="L8" i="13"/>
  <c r="L17" i="13" s="1"/>
  <c r="D102" i="13"/>
  <c r="F104" i="13" s="1"/>
  <c r="R97" i="13"/>
  <c r="L136" i="13"/>
  <c r="I17" i="12"/>
  <c r="J102" i="13"/>
  <c r="L104" i="13" s="1"/>
  <c r="L204" i="13"/>
  <c r="F306" i="13"/>
  <c r="F119" i="13"/>
  <c r="C17" i="12"/>
  <c r="P204" i="13"/>
  <c r="R206" i="13" s="1"/>
  <c r="R194" i="13"/>
  <c r="R204" i="13" s="1"/>
  <c r="J221" i="13"/>
  <c r="L223" i="13" s="1"/>
  <c r="L212" i="13"/>
  <c r="L221" i="13" s="1"/>
  <c r="L68" i="13"/>
  <c r="D187" i="13"/>
  <c r="F189" i="13" s="1"/>
  <c r="R68" i="13"/>
  <c r="L161" i="13"/>
  <c r="L170" i="13" s="1"/>
  <c r="D119" i="13"/>
  <c r="F121" i="13" s="1"/>
  <c r="J34" i="13"/>
  <c r="L36" i="13" s="1"/>
  <c r="L149" i="13"/>
  <c r="J153" i="13"/>
  <c r="L155" i="13" s="1"/>
  <c r="D255" i="13"/>
  <c r="F257" i="13" s="1"/>
  <c r="P306" i="13"/>
  <c r="R308" i="13" s="1"/>
  <c r="R298" i="13"/>
  <c r="R306" i="13" s="1"/>
  <c r="R153" i="13"/>
  <c r="F92" i="13"/>
  <c r="F102" i="13" s="1"/>
  <c r="R102" i="13"/>
  <c r="P51" i="13"/>
  <c r="R53" i="13" s="1"/>
  <c r="F231" i="13"/>
  <c r="F238" i="13" s="1"/>
  <c r="D238" i="13"/>
  <c r="F240" i="13" s="1"/>
  <c r="P34" i="13"/>
  <c r="R36" i="13" s="1"/>
  <c r="J289" i="13"/>
  <c r="L291" i="13" s="1"/>
  <c r="D17" i="13"/>
  <c r="F19" i="13" s="1"/>
  <c r="J119" i="13"/>
  <c r="L121" i="13" s="1"/>
  <c r="L187" i="13"/>
  <c r="R228" i="13"/>
  <c r="R238" i="13" s="1"/>
  <c r="P238" i="13"/>
  <c r="R240" i="13" s="1"/>
  <c r="P272" i="13"/>
  <c r="R274" i="13" s="1"/>
  <c r="R264" i="13"/>
  <c r="R272" i="13" s="1"/>
  <c r="P289" i="13"/>
  <c r="R291" i="13" s="1"/>
  <c r="R279" i="13"/>
  <c r="R289" i="13" s="1"/>
  <c r="D306" i="13"/>
  <c r="F308" i="13" s="1"/>
  <c r="R7" i="13"/>
  <c r="R17" i="13" s="1"/>
  <c r="D289" i="13"/>
  <c r="F291" i="13" s="1"/>
  <c r="C29" i="26" l="1"/>
  <c r="C27" i="26"/>
  <c r="C26" i="26"/>
  <c r="C25" i="26"/>
  <c r="C22" i="26"/>
  <c r="C24" i="26"/>
  <c r="C28" i="26"/>
  <c r="C21" i="26"/>
  <c r="C33" i="26"/>
  <c r="E20" i="12"/>
  <c r="F27" i="9"/>
  <c r="D28" i="9"/>
  <c r="D25" i="9"/>
  <c r="Q2" i="13"/>
  <c r="K20" i="12"/>
  <c r="C30" i="26" l="1"/>
  <c r="D26" i="9"/>
  <c r="F28" i="9"/>
  <c r="D29" i="9"/>
  <c r="F25" i="9"/>
  <c r="D30" i="9" l="1"/>
  <c r="F29" i="9"/>
  <c r="F26" i="9"/>
  <c r="F30" i="9" l="1"/>
  <c r="D31" i="9"/>
  <c r="D32" i="9" l="1"/>
  <c r="D33" i="9" l="1"/>
  <c r="D34" i="9" l="1"/>
  <c r="D35" i="9" l="1"/>
  <c r="D36" i="9" l="1"/>
  <c r="D37" i="9" l="1"/>
  <c r="D38" i="9" l="1"/>
  <c r="D39" i="9" l="1"/>
  <c r="D40" i="9" l="1"/>
  <c r="D41" i="9" l="1"/>
  <c r="D42" i="9" l="1"/>
  <c r="D43" i="9" l="1"/>
  <c r="D44" i="9" l="1"/>
  <c r="D45" i="9" l="1"/>
  <c r="D46" i="9" l="1"/>
  <c r="D47" i="9" l="1"/>
  <c r="D48" i="9" l="1"/>
  <c r="D49" i="9" l="1"/>
  <c r="Q1" i="7"/>
  <c r="D28" i="30" l="1" a="1"/>
  <c r="F28" i="30" s="1"/>
  <c r="D26" i="30" a="1"/>
  <c r="F26" i="30" s="1"/>
  <c r="D24" i="30" a="1"/>
  <c r="F24" i="30" s="1"/>
  <c r="D27" i="30" a="1"/>
  <c r="F27" i="30" s="1"/>
  <c r="D23" i="30" a="1"/>
  <c r="F23" i="30" s="1"/>
  <c r="D25" i="30" a="1"/>
  <c r="F25" i="30" s="1"/>
  <c r="H23" i="30" a="1"/>
  <c r="B111" i="18"/>
  <c r="C99" i="18"/>
  <c r="D99" i="18" s="1"/>
  <c r="K6" i="9"/>
  <c r="K7" i="9" s="1"/>
  <c r="K8" i="9" s="1" a="1"/>
  <c r="K9" i="9" s="1" a="1"/>
  <c r="D22" i="24" a="1"/>
  <c r="F22" i="24" s="1"/>
  <c r="D25" i="24" a="1"/>
  <c r="F25" i="24" s="1"/>
  <c r="D23" i="24" a="1"/>
  <c r="F23" i="24" s="1"/>
  <c r="H20" i="24" a="1"/>
  <c r="J20" i="24" s="1"/>
  <c r="D24" i="24" a="1"/>
  <c r="F24" i="24" s="1"/>
  <c r="D21" i="24" a="1"/>
  <c r="F21" i="24" s="1"/>
  <c r="D20" i="24" a="1"/>
  <c r="F20" i="24" s="1"/>
  <c r="Q9" i="7" a="1"/>
  <c r="Q5" i="7" a="1"/>
  <c r="Q4" i="7" a="1"/>
  <c r="Q11" i="7" a="1"/>
  <c r="Q6" i="7" a="1"/>
  <c r="Q10" i="7" a="1"/>
  <c r="Q8" i="7" a="1"/>
  <c r="Q7" i="7" a="1"/>
  <c r="J23" i="30" l="1"/>
  <c r="D27" i="24"/>
  <c r="B114" i="18"/>
  <c r="F129" i="18"/>
  <c r="F131" i="18"/>
  <c r="I26" i="24"/>
  <c r="J26" i="24" s="1"/>
  <c r="D28" i="24" s="1" a="1"/>
  <c r="C13" i="26" a="1"/>
  <c r="C12" i="26" a="1"/>
  <c r="C11" i="26" a="1"/>
  <c r="C10" i="26" a="1"/>
  <c r="C9" i="26" a="1"/>
  <c r="C8" i="26" a="1"/>
  <c r="K12" i="9" a="1"/>
  <c r="E31" i="9" s="1"/>
  <c r="I29" i="30" l="1"/>
  <c r="J29" i="30" s="1"/>
  <c r="D31" i="30" s="1" a="1"/>
  <c r="F31" i="9"/>
  <c r="F32" i="9" l="1"/>
  <c r="F33" i="9" l="1"/>
  <c r="F34" i="9" l="1"/>
  <c r="F35" i="9" l="1"/>
  <c r="F36" i="9" l="1"/>
  <c r="F37" i="9" l="1"/>
  <c r="F38" i="9" l="1"/>
  <c r="F46" i="9" s="1"/>
  <c r="F39" i="9" l="1"/>
  <c r="F47" i="9"/>
  <c r="F40" i="9" l="1"/>
  <c r="F49" i="9"/>
  <c r="C100" i="18" s="1"/>
  <c r="D100" i="18" s="1"/>
  <c r="F41" i="9" l="1"/>
  <c r="F42" i="9" l="1"/>
  <c r="F43" i="9" l="1"/>
  <c r="F44" i="9" l="1"/>
  <c r="F45" i="9" l="1"/>
  <c r="C89" i="18"/>
  <c r="C88" i="18"/>
  <c r="C87" i="18"/>
  <c r="C86" i="18"/>
  <c r="D83" i="18"/>
  <c r="C83" i="18"/>
  <c r="B83" i="18"/>
  <c r="D82" i="18"/>
  <c r="C82" i="18"/>
  <c r="B82" i="18"/>
  <c r="D81" i="18"/>
  <c r="C81" i="18"/>
  <c r="B81" i="18"/>
  <c r="D80" i="18"/>
  <c r="C80" i="18"/>
  <c r="B80" i="18"/>
  <c r="D79" i="18"/>
  <c r="C79" i="18"/>
  <c r="B79" i="18"/>
  <c r="D78" i="18"/>
  <c r="C78" i="18"/>
  <c r="B78" i="18"/>
  <c r="D77" i="18"/>
  <c r="C77" i="18"/>
  <c r="B77" i="18"/>
  <c r="D76" i="18"/>
  <c r="C76" i="18"/>
  <c r="B76" i="18"/>
  <c r="D75" i="18"/>
  <c r="C75" i="18"/>
  <c r="B75" i="18"/>
  <c r="D74" i="18"/>
  <c r="C74" i="18"/>
  <c r="B74" i="18"/>
  <c r="D69" i="18"/>
  <c r="C69" i="18"/>
  <c r="B69" i="18"/>
  <c r="D68" i="18"/>
  <c r="C68" i="18"/>
  <c r="B68" i="18"/>
  <c r="D67" i="18"/>
  <c r="C67" i="18"/>
  <c r="B67" i="18"/>
  <c r="D66" i="18"/>
  <c r="C66" i="18"/>
  <c r="B66" i="18"/>
  <c r="D65" i="18"/>
  <c r="C65" i="18"/>
  <c r="B65" i="18"/>
  <c r="D64" i="18"/>
  <c r="C64" i="18"/>
  <c r="B64" i="18"/>
  <c r="D63" i="18"/>
  <c r="C63" i="18"/>
  <c r="B63" i="18"/>
  <c r="D62" i="18"/>
  <c r="C62" i="18"/>
  <c r="B62" i="18"/>
  <c r="D61" i="18"/>
  <c r="C61" i="18"/>
  <c r="B61" i="18"/>
  <c r="D60" i="18"/>
  <c r="C60" i="18"/>
  <c r="B60" i="18"/>
  <c r="D55" i="18"/>
  <c r="C55" i="18"/>
  <c r="B55" i="18"/>
  <c r="D54" i="18"/>
  <c r="C54" i="18"/>
  <c r="B54" i="18"/>
  <c r="D53" i="18"/>
  <c r="C53" i="18"/>
  <c r="B53" i="18"/>
  <c r="D52" i="18"/>
  <c r="C52" i="18"/>
  <c r="B52" i="18"/>
  <c r="D51" i="18"/>
  <c r="C51" i="18"/>
  <c r="B51" i="18"/>
  <c r="D50" i="18"/>
  <c r="C50" i="18"/>
  <c r="B50" i="18"/>
  <c r="D49" i="18"/>
  <c r="C49" i="18"/>
  <c r="B49" i="18"/>
  <c r="D48" i="18"/>
  <c r="C48" i="18"/>
  <c r="B48" i="18"/>
  <c r="D47" i="18"/>
  <c r="C47" i="18"/>
  <c r="B47" i="18"/>
  <c r="D46" i="18"/>
  <c r="C46" i="18"/>
  <c r="B46" i="18"/>
  <c r="D41" i="18"/>
  <c r="C41" i="18"/>
  <c r="B41" i="18"/>
  <c r="D40" i="18"/>
  <c r="C40" i="18"/>
  <c r="B40" i="18"/>
  <c r="D39" i="18"/>
  <c r="C39" i="18"/>
  <c r="B39" i="18"/>
  <c r="D38" i="18"/>
  <c r="C38" i="18"/>
  <c r="B38" i="18"/>
  <c r="D37" i="18"/>
  <c r="C37" i="18"/>
  <c r="B37" i="18"/>
  <c r="D36" i="18"/>
  <c r="C36" i="18"/>
  <c r="B36" i="18"/>
  <c r="D35" i="18"/>
  <c r="C35" i="18"/>
  <c r="B35" i="18"/>
  <c r="D34" i="18"/>
  <c r="C34" i="18"/>
  <c r="B34" i="18"/>
  <c r="D33" i="18"/>
  <c r="C33" i="18"/>
  <c r="B33" i="18"/>
  <c r="D32" i="18"/>
  <c r="C32" i="18"/>
  <c r="B32" i="18"/>
  <c r="T4" i="28"/>
  <c r="S4" i="28"/>
  <c r="R4" i="28"/>
  <c r="Q4" i="28"/>
  <c r="P4" i="28"/>
  <c r="O4" i="28"/>
  <c r="N4" i="28"/>
  <c r="M4" i="28"/>
  <c r="L4" i="28"/>
  <c r="I4" i="28"/>
  <c r="H4" i="28"/>
  <c r="G4" i="28"/>
  <c r="F4" i="28"/>
  <c r="E4" i="28"/>
  <c r="D4" i="28"/>
  <c r="C4" i="28"/>
  <c r="B4" i="28"/>
  <c r="A4" i="28"/>
  <c r="L3" i="28"/>
  <c r="A3" i="28"/>
  <c r="P8" i="27"/>
  <c r="M8" i="27"/>
  <c r="J8" i="27"/>
  <c r="G8" i="27"/>
  <c r="D8" i="27"/>
  <c r="P7" i="27"/>
  <c r="M7" i="27"/>
  <c r="J7" i="27"/>
  <c r="G7" i="27"/>
  <c r="D7" i="27"/>
  <c r="P6" i="27"/>
  <c r="M6" i="27"/>
  <c r="J6" i="27"/>
  <c r="G6" i="27"/>
  <c r="D6" i="27"/>
  <c r="P5" i="27"/>
  <c r="M5" i="27"/>
  <c r="J5" i="27"/>
  <c r="G5" i="27"/>
  <c r="D5" i="27"/>
  <c r="P4" i="27"/>
  <c r="M4" i="27"/>
  <c r="J4" i="27"/>
  <c r="G4" i="27"/>
  <c r="D4" i="27"/>
  <c r="D31" i="30"/>
  <c r="E28" i="30"/>
  <c r="D28" i="30"/>
  <c r="C28" i="30"/>
  <c r="E27" i="30"/>
  <c r="D27" i="30"/>
  <c r="C27" i="30"/>
  <c r="E26" i="30"/>
  <c r="D26" i="30"/>
  <c r="C26" i="30"/>
  <c r="E25" i="30"/>
  <c r="D25" i="30"/>
  <c r="C25" i="30"/>
  <c r="E24" i="30"/>
  <c r="D24" i="30"/>
  <c r="C24" i="30"/>
  <c r="I23" i="30"/>
  <c r="H23" i="30"/>
  <c r="E23" i="30"/>
  <c r="D23" i="30"/>
  <c r="C23" i="30"/>
  <c r="S9" i="30"/>
  <c r="P9" i="30"/>
  <c r="M9" i="30"/>
  <c r="J9" i="30"/>
  <c r="G9" i="30"/>
  <c r="D9" i="30"/>
  <c r="S8" i="30"/>
  <c r="P8" i="30"/>
  <c r="M8" i="30"/>
  <c r="J8" i="30"/>
  <c r="G8" i="30"/>
  <c r="D8" i="30"/>
  <c r="S7" i="30"/>
  <c r="P7" i="30"/>
  <c r="M7" i="30"/>
  <c r="J7" i="30"/>
  <c r="G7" i="30"/>
  <c r="D7" i="30"/>
  <c r="S6" i="30"/>
  <c r="P6" i="30"/>
  <c r="M6" i="30"/>
  <c r="J6" i="30"/>
  <c r="G6" i="30"/>
  <c r="D6" i="30"/>
  <c r="S5" i="30"/>
  <c r="P5" i="30"/>
  <c r="M5" i="30"/>
  <c r="J5" i="30"/>
  <c r="G5" i="30"/>
  <c r="D5" i="30"/>
  <c r="S4" i="30"/>
  <c r="P4" i="30"/>
  <c r="M4" i="30"/>
  <c r="J4" i="30"/>
  <c r="G4" i="30"/>
  <c r="D4" i="30"/>
  <c r="D28" i="24"/>
  <c r="E25" i="24"/>
  <c r="D25" i="24"/>
  <c r="C25" i="24"/>
  <c r="E24" i="24"/>
  <c r="D24" i="24"/>
  <c r="C24" i="24"/>
  <c r="E23" i="24"/>
  <c r="D23" i="24"/>
  <c r="C23" i="24"/>
  <c r="E22" i="24"/>
  <c r="D22" i="24"/>
  <c r="C22" i="24"/>
  <c r="E21" i="24"/>
  <c r="D21" i="24"/>
  <c r="C21" i="24"/>
  <c r="I20" i="24"/>
  <c r="H20" i="24"/>
  <c r="E20" i="24"/>
  <c r="D20" i="24"/>
  <c r="C20" i="24"/>
  <c r="S11" i="24"/>
  <c r="P11" i="24"/>
  <c r="M11" i="24"/>
  <c r="J11" i="24"/>
  <c r="G11" i="24"/>
  <c r="D11" i="24"/>
  <c r="S10" i="24"/>
  <c r="P10" i="24"/>
  <c r="M10" i="24"/>
  <c r="J10" i="24"/>
  <c r="G10" i="24"/>
  <c r="D10" i="24"/>
  <c r="S9" i="24"/>
  <c r="P9" i="24"/>
  <c r="M9" i="24"/>
  <c r="J9" i="24"/>
  <c r="G9" i="24"/>
  <c r="D9" i="24"/>
  <c r="S8" i="24"/>
  <c r="P8" i="24"/>
  <c r="M8" i="24"/>
  <c r="J8" i="24"/>
  <c r="G8" i="24"/>
  <c r="D8" i="24"/>
  <c r="S7" i="24"/>
  <c r="P7" i="24"/>
  <c r="M7" i="24"/>
  <c r="J7" i="24"/>
  <c r="G7" i="24"/>
  <c r="D7" i="24"/>
  <c r="S6" i="24"/>
  <c r="P6" i="24"/>
  <c r="M6" i="24"/>
  <c r="J6" i="24"/>
  <c r="G6" i="24"/>
  <c r="D6" i="24"/>
  <c r="S5" i="24"/>
  <c r="P5" i="24"/>
  <c r="M5" i="24"/>
  <c r="J5" i="24"/>
  <c r="G5" i="24"/>
  <c r="D5" i="24"/>
  <c r="S4" i="24"/>
  <c r="P4" i="24"/>
  <c r="M4" i="24"/>
  <c r="J4" i="24"/>
  <c r="G4" i="24"/>
  <c r="D4" i="24"/>
  <c r="B27" i="26"/>
  <c r="B26" i="26"/>
  <c r="B25" i="26"/>
  <c r="B24" i="26"/>
  <c r="B23" i="26"/>
  <c r="B22" i="26"/>
  <c r="B21" i="26"/>
  <c r="C20" i="26"/>
  <c r="B20" i="26"/>
  <c r="C19" i="26"/>
  <c r="B19" i="26"/>
  <c r="C18" i="26"/>
  <c r="B18" i="26"/>
  <c r="C17" i="26"/>
  <c r="B17" i="26"/>
  <c r="C16" i="26"/>
  <c r="B16" i="26"/>
  <c r="C15" i="26"/>
  <c r="B15" i="26"/>
  <c r="C14" i="26"/>
  <c r="B14" i="26"/>
  <c r="C13" i="26"/>
  <c r="B13" i="26"/>
  <c r="C12" i="26"/>
  <c r="B12" i="26"/>
  <c r="C11" i="26"/>
  <c r="B11" i="26"/>
  <c r="C10" i="26"/>
  <c r="B10" i="26"/>
  <c r="C9" i="26"/>
  <c r="B9" i="26"/>
  <c r="C8" i="26"/>
  <c r="B8" i="26"/>
  <c r="K25" i="9"/>
  <c r="B17" i="9"/>
  <c r="B13" i="9"/>
  <c r="K12" i="9"/>
  <c r="K9" i="9"/>
  <c r="K8" i="9"/>
  <c r="G6" i="9"/>
  <c r="F6" i="9"/>
  <c r="E6" i="9"/>
  <c r="D6" i="9"/>
  <c r="C6" i="9"/>
  <c r="B6" i="9"/>
  <c r="F5" i="9"/>
  <c r="Q1" i="2"/>
  <c r="O15" i="22"/>
  <c r="O14" i="22"/>
  <c r="O10" i="22"/>
  <c r="O9" i="22"/>
  <c r="O8" i="22"/>
  <c r="O7" i="22"/>
  <c r="O6" i="22"/>
  <c r="O5" i="22"/>
  <c r="Q11" i="7"/>
  <c r="P11" i="7"/>
  <c r="Q10" i="7"/>
  <c r="O10" i="7"/>
  <c r="Q9" i="7"/>
  <c r="O9" i="7"/>
  <c r="Q8" i="7"/>
  <c r="O8" i="7"/>
  <c r="Q7" i="7"/>
  <c r="O7" i="7"/>
  <c r="Q6" i="7"/>
  <c r="O6" i="7"/>
  <c r="Q5" i="7"/>
  <c r="O5" i="7"/>
  <c r="Q4" i="7"/>
  <c r="O4" i="7"/>
  <c r="L8" i="19"/>
  <c r="L7" i="19"/>
  <c r="L6" i="19"/>
  <c r="L5" i="19"/>
  <c r="L4" i="19"/>
  <c r="B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tc={D124DE80-6C05-4A77-B13A-DF6CEFCEE312}</author>
    <author>tc={F585663A-82AF-4251-A97B-29543BAA547E}</author>
    <author>tc={A9F85C49-11DE-44DE-A29E-8BEAF13869E0}</author>
    <author>tc={330FAD51-C613-4F8F-944C-E77B66C1FDE1}</author>
    <author>tc={73B140F4-A317-4415-A11A-1315E2F5B9F8}</author>
    <author>tc={F6E82217-C1E0-4BBD-BC91-C55DF6BFACA1}</author>
    <author>tc={8B30F961-F37F-4F2A-930A-3336AEA48CFB}</author>
  </authors>
  <commentList>
    <comment ref="BO1" authorId="0" shapeId="0" xr:uid="{D124DE80-6C05-4A77-B13A-DF6CEFCEE312}">
      <text>
        <t>[Threaded comment]
Your version of Excel allows you to read this threaded comment; however, any edits to it will get removed if the file is opened in a newer version of Excel. Learn more: https://go.microsoft.com/fwlink/?linkid=870924
Comment:
    Ne pas oublier d’indexer, de calculer le glissement et autres primes le cas échéant. Mutualité taux normal 2024 et pas d’augmentation de la quote part sur cotisations patronales car effective qu’au 01/01/2026.</t>
      </text>
    </comment>
    <comment ref="AL3" authorId="1" shapeId="0" xr:uid="{F585663A-82AF-4251-A97B-29543BAA547E}">
      <text>
        <t>[Threaded comment]
Your version of Excel allows you to read this threaded comment; however, any edits to it will get removed if the file is opened in a newer version of Excel. Learn more: https://go.microsoft.com/fwlink/?linkid=870924
Comment:
    Pour la liste en cascade</t>
      </text>
    </comment>
    <comment ref="AN3" authorId="2" shapeId="0" xr:uid="{A9F85C49-11DE-44DE-A29E-8BEAF13869E0}">
      <text>
        <t>[Threaded comment]
Your version of Excel allows you to read this threaded comment; however, any edits to it will get removed if the file is opened in a newer version of Excel. Learn more: https://go.microsoft.com/fwlink/?linkid=870924
Comment:
    Pour la liste en cascade</t>
      </text>
    </comment>
    <comment ref="H4" authorId="3" shapeId="0" xr:uid="{330FAD51-C613-4F8F-944C-E77B66C1FDE1}">
      <text>
        <t>[Threaded comment]
Your version of Excel allows you to read this threaded comment; however, any edits to it will get removed if the file is opened in a newer version of Excel. Learn more: https://go.microsoft.com/fwlink/?linkid=870924
Comment:
    Ce taux la ne bouge pas</t>
      </text>
    </comment>
    <comment ref="B6" authorId="4" shapeId="0" xr:uid="{73B140F4-A317-4415-A11A-1315E2F5B9F8}">
      <text>
        <t>[Threaded comment]
Your version of Excel allows you to read this threaded comment; however, any edits to it will get removed if the file is opened in a newer version of Excel. Learn more: https://go.microsoft.com/fwlink/?linkid=870924
Comment:
    Temps de travail payé (sans deduction congés, maladie…)</t>
      </text>
    </comment>
    <comment ref="B10" authorId="5" shapeId="0" xr:uid="{F6E82217-C1E0-4BBD-BC91-C55DF6BFACA1}">
      <text>
        <t>[Threaded comment]
Your version of Excel allows you to read this threaded comment; however, any edits to it will get removed if the file is opened in a newer version of Excel. Learn more: https://go.microsoft.com/fwlink/?linkid=870924
Comment:
    Accord entre ministère et gestionnaires</t>
      </text>
    </comment>
    <comment ref="BA10" authorId="6" shapeId="0" xr:uid="{8B30F961-F37F-4F2A-930A-3336AEA48CFB}">
      <text>
        <t>[Threaded comment]
Your version of Excel allows you to read this threaded comment; however, any edits to it will get removed if the file is opened in a newer version of Excel. Learn more: https://go.microsoft.com/fwlink/?linkid=870924
Comment:
    Verifier ce tarif en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tc={F0615341-62DB-4EB3-91DF-2B393D687047}</author>
    <author>tc={C1286320-2589-483B-AFD1-50A3AEDD3F78}</author>
  </authors>
  <commentList>
    <comment ref="Q4" authorId="0" shapeId="0" xr:uid="{F0615341-62DB-4EB3-91DF-2B393D687047}">
      <text>
        <t>[Threaded comment]
Your version of Excel allows you to read this threaded comment; however, any edits to it will get removed if the file is opened in a newer version of Excel. Learn more: https://go.microsoft.com/fwlink/?linkid=870924
Comment:
    Si l'efficience du personnel d'encadrement est en dessus du minimum ou au dessus du maximum, alors on divise le resultat pondéré par le min ou le max et on le multiplie par l'efficience du personnel d'encadrement. Sinon on affiche le resultat pondéré</t>
      </text>
    </comment>
    <comment ref="Q11" authorId="1" shapeId="0" xr:uid="{C1286320-2589-483B-AFD1-50A3AEDD3F78}">
      <text>
        <t>[Threaded comment]
Your version of Excel allows you to read this threaded comment; however, any edits to it will get removed if the file is opened in a newer version of Excel. Learn more: https://go.microsoft.com/fwlink/?linkid=870924
Comment:
    Si le 9.1 est à 0 alors on regarde si l'efficience global est inf à 62.5% ou sup à 82.5% et la on recalcule avec l'efficience global si c'est le cas. Sinon on prend la somme des diviseurs pondérés classiques.
Sil y a du 9.1 on fait la même chose mais avec les taux de 60 et 80%</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tc={3C91D164-57AE-4D40-81B4-3B1289183577}</author>
  </authors>
  <commentList>
    <comment ref="A3" authorId="0" shapeId="0" xr:uid="{3C91D164-57AE-4D40-81B4-3B1289183577}">
      <text>
        <t>[Threaded comment]
Your version of Excel allows you to read this threaded comment; however, any edits to it will get removed if the file is opened in a newer version of Excel. Learn more: https://go.microsoft.com/fwlink/?linkid=870924
Comment:
    Cette colonne existe suite à l'historique ou on avait toutes les infos sur un seul fichier</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tc={F0074BFD-F05A-43C9-9FDF-56F6D058E752}</author>
  </authors>
  <commentList>
    <comment ref="A3" authorId="0" shapeId="0" xr:uid="{F0074BFD-F05A-43C9-9FDF-56F6D058E752}">
      <text>
        <t>[Threaded comment]
Your version of Excel allows you to read this threaded comment; however, any edits to it will get removed if the file is opened in a newer version of Excel. Learn more: https://go.microsoft.com/fwlink/?linkid=870924
Comment:
    Je ne comprends pas, nous sommes seulement sur le type de prestation selectionné non ? Donc pourquoi renseigner cette colonne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tc={9B276286-FD63-453C-9CA5-33D2E8C41918}</author>
    <author>tc={00DBBED7-2785-44AE-81CC-EF2884352034}</author>
    <author>tc={9FE7EA05-14F0-4CCC-8642-B212C6CDBCFD}</author>
    <author>tc={8ED80883-52EA-4D2E-A1D0-2F5222611888}</author>
    <author>tc={07A1DD16-95D2-4695-A52C-25E611625D1E}</author>
    <author>tc={00CEE056-340D-46B7-B62C-39C1CD01CC2C}</author>
    <author>tc={6D8BD931-6354-46B4-90DD-0C3F0B32550C}</author>
    <author>tc={55BE5DDC-0A79-4D67-9AEC-53CD79FDD11F}</author>
    <author>tc={1E4F92AC-F3B7-4B6C-9941-222D1EF916CC}</author>
    <author>tc={34272353-104D-4230-A31D-064EA7C987F3}</author>
    <author>tc={F5468CE1-4C1B-49B7-B503-04A87D719095}</author>
    <author>tc={8747046C-9801-4F9C-BEE1-F91F1531107E}</author>
  </authors>
  <commentList>
    <comment ref="D3" authorId="0" shapeId="0" xr:uid="{9B276286-FD63-453C-9CA5-33D2E8C41918}">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J3" authorId="1" shapeId="0" xr:uid="{00DBBED7-2785-44AE-81CC-EF2884352034}">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M3" authorId="2" shapeId="0" xr:uid="{9FE7EA05-14F0-4CCC-8642-B212C6CDBCFD}">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P3" authorId="3" shapeId="0" xr:uid="{8ED80883-52EA-4D2E-A1D0-2F5222611888}">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H15" authorId="4" shapeId="0" xr:uid="{07A1DD16-95D2-4695-A52C-25E611625D1E}">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K15" authorId="5" shapeId="0" xr:uid="{00CEE056-340D-46B7-B62C-39C1CD01CC2C}">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N15" authorId="6" shapeId="0" xr:uid="{6D8BD931-6354-46B4-90DD-0C3F0B32550C}">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Q15" authorId="7" shapeId="0" xr:uid="{55BE5DDC-0A79-4D67-9AEC-53CD79FDD11F}">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T15" authorId="8" shapeId="0" xr:uid="{1E4F92AC-F3B7-4B6C-9941-222D1EF916CC}">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I26" authorId="9" shapeId="0" xr:uid="{34272353-104D-4230-A31D-064EA7C987F3}">
      <text>
        <t>[Threaded comment]
Your version of Excel allows you to read this threaded comment; however, any edits to it will get removed if the file is opened in a newer version of Excel. Learn more: https://go.microsoft.com/fwlink/?linkid=870924
Comment:
    Nombre d’ETP qui voient leur salaire recalculé sur base d’un C2 qualifié</t>
      </text>
    </comment>
    <comment ref="J26" authorId="10" shapeId="0" xr:uid="{F5468CE1-4C1B-49B7-B503-04A87D719095}">
      <text>
        <t>[Threaded comment]
Your version of Excel allows you to read this threaded comment; however, any edits to it will get removed if the file is opened in a newer version of Excel. Learn more: https://go.microsoft.com/fwlink/?linkid=870924
Comment:
    Nouvelle marge d’auxiliaire de vie</t>
      </text>
    </comment>
    <comment ref="D28" authorId="11" shapeId="0" xr:uid="{8747046C-9801-4F9C-BEE1-F91F1531107E}">
      <text>
        <t>[Threaded comment]
Your version of Excel allows you to read this threaded comment; however, any edits to it will get removed if the file is opened in a newer version of Excel. Learn more: https://go.microsoft.com/fwlink/?linkid=870924
Comment:
    Attention problème formule si le non respect du test vient d’une efficience trop grande ou trop petite et non d’un problème de qualif et s’il n’y a aucune autre qualif que la qualif necessaire. C’est un cas très rare que j’ai prévu uniquement pour le 9.1 car j’ai eu le cas en 2024 mais je ne peux pas le prévoir pour tous les forfaits car j’arrive à la limite de 8.192 caractères dans la formule. Par contre, si on ne tient finalement pas de l’efficience dans le test de plau, on peut supprimer ce iferror dans le forfait 9.1 car le cas n’existera plus.
PS : dans la formule les deux premiers termes sont liés au forfait 7</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tc={CC9DCF4F-ED1D-455D-9B97-84F3A87A8237}</author>
    <author>tc={19ECB103-EFF6-4FB5-BCB1-BAE233CC5E77}</author>
    <author>tc={8058E7EA-F552-4372-87BD-E64043F53E53}</author>
    <author>tc={CD8668CD-E1BC-4F93-85AF-063B1E92A166}</author>
    <author>tc={A5E28E20-04C4-42B8-8B41-25D75B6E32C1}</author>
    <author>tc={7F0EC11C-1339-473A-BDD1-A6969BE79F7C}</author>
    <author>tc={4C0CF6A9-F706-459A-95F7-7F8B20097F48}</author>
    <author>tc={35B667D1-551A-4774-A5E1-E4F0A4E8030E}</author>
    <author>tc={DAC45F29-DC74-4276-B901-737EF630CF82}</author>
    <author>tc={F96715B4-4C04-46F6-B2AA-84A27D54417E}</author>
    <author>tc={6E12DE9C-A322-45B1-BA32-E04E95A74C98}</author>
    <author>tc={257C8307-BC98-42F8-A72A-823BBEE6D0D7}</author>
    <author>tc={0E1B9B60-D10B-4514-9D35-38352D61EBEF}</author>
    <author>tc={A99CEC40-4441-4228-ACD0-A5F3FD3361E4}</author>
    <author>tc={A9F3B37B-D102-4F1B-82EF-25D626C8A471}</author>
    <author>tc={D3E648F8-68E5-4766-BB0B-9AED335F6E72}</author>
    <author>tc={6BF90F5D-739B-4BC1-A6E8-ECB224F6F4CB}</author>
    <author>tc={98267071-BAFC-44A2-8544-6FBC896F1ECA}</author>
    <author>tc={DFACD16B-BBBB-4A8A-8FAC-E6343C571D3C}</author>
    <author>tc={73B15096-3EE0-49C5-87A7-F131EBE8AA37}</author>
    <author>tc={0C9E4659-0E36-4568-BF40-BD818FE74650}</author>
  </authors>
  <commentList>
    <comment ref="D3" authorId="0" shapeId="0" xr:uid="{CC9DCF4F-ED1D-455D-9B97-84F3A87A8237}">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F3" authorId="1" shapeId="0" xr:uid="{19ECB103-EFF6-4FB5-BCB1-BAE233CC5E77}">
      <text>
        <t>[Threaded comment]
Your version of Excel allows you to read this threaded comment; however, any edits to it will get removed if the file is opened in a newer version of Excel. Learn more: https://go.microsoft.com/fwlink/?linkid=870924
Comment:
    Ici on calcule un réel théorique pour le personnel qualifié de l’ortho et on applique les 3%</t>
      </text>
    </comment>
    <comment ref="G3" authorId="2" shapeId="0" xr:uid="{8058E7EA-F552-4372-87BD-E64043F53E53}">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J3" authorId="3" shapeId="0" xr:uid="{CD8668CD-E1BC-4F93-85AF-063B1E92A166}">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M3" authorId="4" shapeId="0" xr:uid="{A5E28E20-04C4-42B8-8B41-25D75B6E32C1}">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P3" authorId="5" shapeId="0" xr:uid="{7F0EC11C-1339-473A-BDD1-A6969BE79F7C}">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J10" authorId="6" shapeId="0" xr:uid="{4C0CF6A9-F706-459A-95F7-7F8B20097F48}">
      <text>
        <t>[Threaded comment]
Your version of Excel allows you to read this threaded comment; however, any edits to it will get removed if the file is opened in a newer version of Excel. Learn more: https://go.microsoft.com/fwlink/?linkid=870924
Comment:
    On soustrait la part des C7 utilisés en ortho le cas échéant</t>
      </text>
    </comment>
    <comment ref="K11" authorId="7" shapeId="0" xr:uid="{35B667D1-551A-4774-A5E1-E4F0A4E8030E}">
      <text>
        <t>[Threaded comment]
Your version of Excel allows you to read this threaded comment; however, any edits to it will get removed if the file is opened in a newer version of Excel. Learn more: https://go.microsoft.com/fwlink/?linkid=870924
Comment:
    Si on est pas bon, on cherche dans C4 C3 ou C1.Si ya un reste apres on le trf. Ne pas oublier de traiter les trf à droite</t>
      </text>
    </comment>
    <comment ref="H17" authorId="8" shapeId="0" xr:uid="{DAC45F29-DC74-4276-B901-737EF630CF82}">
      <text>
        <t>[Threaded comment]
Your version of Excel allows you to read this threaded comment; however, any edits to it will get removed if the file is opened in a newer version of Excel. Learn more: https://go.microsoft.com/fwlink/?linkid=870924
Comment:
    Nb d’ETP à rembourser</t>
      </text>
    </comment>
    <comment ref="K17" authorId="9" shapeId="0" xr:uid="{F96715B4-4C04-46F6-B2AA-84A27D54417E}">
      <text>
        <t>[Threaded comment]
Your version of Excel allows you to read this threaded comment; however, any edits to it will get removed if the file is opened in a newer version of Excel. Learn more: https://go.microsoft.com/fwlink/?linkid=870924
Comment:
    Nb d’ETP à rembourser</t>
      </text>
    </comment>
    <comment ref="N17" authorId="10" shapeId="0" xr:uid="{6E12DE9C-A322-45B1-BA32-E04E95A74C98}">
      <text>
        <t>[Threaded comment]
Your version of Excel allows you to read this threaded comment; however, any edits to it will get removed if the file is opened in a newer version of Excel. Learn more: https://go.microsoft.com/fwlink/?linkid=870924
Comment:
    Nb d’ETP à rembourser</t>
      </text>
    </comment>
    <comment ref="Q17" authorId="11" shapeId="0" xr:uid="{257C8307-BC98-42F8-A72A-823BBEE6D0D7}">
      <text>
        <t>[Threaded comment]
Your version of Excel allows you to read this threaded comment; however, any edits to it will get removed if the file is opened in a newer version of Excel. Learn more: https://go.microsoft.com/fwlink/?linkid=870924
Comment:
    Nb d’ETP à rembourser</t>
      </text>
    </comment>
    <comment ref="T17" authorId="12" shapeId="0" xr:uid="{0E1B9B60-D10B-4514-9D35-38352D61EBEF}">
      <text>
        <t>[Threaded comment]
Your version of Excel allows you to read this threaded comment; however, any edits to it will get removed if the file is opened in a newer version of Excel. Learn more: https://go.microsoft.com/fwlink/?linkid=870924
Comment:
    Nb d’ETP à rembourser</t>
      </text>
    </comment>
    <comment ref="H18" authorId="13" shapeId="0" xr:uid="{A99CEC40-4441-4228-ACD0-A5F3FD3361E4}">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K18" authorId="14" shapeId="0" xr:uid="{A9F3B37B-D102-4F1B-82EF-25D626C8A471}">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N18" authorId="15" shapeId="0" xr:uid="{D3E648F8-68E5-4766-BB0B-9AED335F6E72}">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Q18" authorId="16" shapeId="0" xr:uid="{6BF90F5D-739B-4BC1-A6E8-ECB224F6F4CB}">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T18" authorId="17" shapeId="0" xr:uid="{98267071-BAFC-44A2-8544-6FBC896F1ECA}">
      <text>
        <t>[Threaded comment]
Your version of Excel allows you to read this threaded comment; however, any edits to it will get removed if the file is opened in a newer version of Excel. Learn more: https://go.microsoft.com/fwlink/?linkid=870924
Comment:
    Moyenne salaire carrière minimum du type de qualif sur l’activité concerné</t>
      </text>
    </comment>
    <comment ref="I29" authorId="18" shapeId="0" xr:uid="{DFACD16B-BBBB-4A8A-8FAC-E6343C571D3C}">
      <text>
        <t>[Threaded comment]
Your version of Excel allows you to read this threaded comment; however, any edits to it will get removed if the file is opened in a newer version of Excel. Learn more: https://go.microsoft.com/fwlink/?linkid=870924
Comment:
    Nombre d’ETP qui voient leur salaire recalculé sur base d’un C2 qualifié</t>
      </text>
    </comment>
    <comment ref="J29" authorId="19" shapeId="0" xr:uid="{73B15096-3EE0-49C5-87A7-F131EBE8AA37}">
      <text>
        <t>[Threaded comment]
Your version of Excel allows you to read this threaded comment; however, any edits to it will get removed if the file is opened in a newer version of Excel. Learn more: https://go.microsoft.com/fwlink/?linkid=870924
Comment:
    Nouvelle marge d’auxiliaire de vie</t>
      </text>
    </comment>
    <comment ref="D31" authorId="20" shapeId="0" xr:uid="{0C9E4659-0E36-4568-BF40-BD818FE74650}">
      <text>
        <t>[Threaded comment]
Your version of Excel allows you to read this threaded comment; however, any edits to it will get removed if the file is opened in a newer version of Excel. Learn more: https://go.microsoft.com/fwlink/?linkid=870924
Comment:
    Attention problème formule si le non respect du test vient d’une efficience trop grande ou trop petite et non d’un problème de qualif et s’il n’y a aucune autre qualif que la qualif necessaire. C’est un cas très rare que j’ai prévu uniquement pour le 9.1 car j’ai eu le cas en 2024 mais je ne peux pas le prévoir pour tous les forfaits car j’arrive à la limite de 8.192 caractères dans la formule. Par contre, si on ne tient finalement pas de l’efficience dans le test de plau, on peut supprimer ce iferror dans le forfait 9.1 car le cas n’existera plus.
PS : dans la formule les deux premiers termes sont liés au forfait 7</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tc={AA95F2FD-6FF1-41C1-AACA-C514DC2336C8}</author>
    <author>tc={B95ECB77-4122-4293-88F4-2F4552157AC6}</author>
    <author>tc={02489248-5649-4AF2-AE56-B3EEE9DF8C48}</author>
    <author>tc={0A13BEAA-6CEE-4EF8-82FE-C8122651932C}</author>
    <author>tc={8B365474-61B1-4F4F-80DB-8B6A9C3D5C25}</author>
  </authors>
  <commentList>
    <comment ref="D3" authorId="0" shapeId="0" xr:uid="{AA95F2FD-6FF1-41C1-AACA-C514DC2336C8}">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G3" authorId="1" shapeId="0" xr:uid="{B95ECB77-4122-4293-88F4-2F4552157AC6}">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J3" authorId="2" shapeId="0" xr:uid="{02489248-5649-4AF2-AE56-B3EEE9DF8C48}">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M3" authorId="3" shapeId="0" xr:uid="{0A13BEAA-6CEE-4EF8-82FE-C8122651932C}">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 ref="P3" authorId="4" shapeId="0" xr:uid="{8B365474-61B1-4F4F-80DB-8B6A9C3D5C25}">
      <text>
        <t>[Threaded comment]
Your version of Excel allows you to read this threaded comment; however, any edits to it will get removed if the file is opened in a newer version of Excel. Learn more: https://go.microsoft.com/fwlink/?linkid=870924
Comment:
    Les ETP ne sont pas affectés par prestation. On contrôle ainsi uniquement le total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<sst xmlns="http://schemas.openxmlformats.org/spreadsheetml/2006/main" count="1717" uniqueCount="597">
  <si>
    <t>Identification de la structure</t>
  </si>
  <si>
    <t>Nom du service</t>
  </si>
  <si>
    <t>Personnes de contact</t>
  </si>
  <si>
    <t>Données ONE</t>
  </si>
  <si>
    <t>Libellé</t>
  </si>
  <si>
    <t>Code</t>
  </si>
  <si>
    <t>Mesures d'aide et assistance</t>
  </si>
  <si>
    <t>Forfait horaire pour l'aide socio familiale en famille</t>
  </si>
  <si>
    <t>Forfait horaire pour l'assistance psychique, sociale ou éducative en famille</t>
  </si>
  <si>
    <t>8.1</t>
  </si>
  <si>
    <t>Forfait horaire pour l'assistance psychique, sociale ou éducative en famille (presté dans un contexte SLEMO)</t>
  </si>
  <si>
    <t>8.2</t>
  </si>
  <si>
    <t>Forfait horaire pour l'assistance psychique, sociale ou éducative en famille (presté dans un contexte d'accueil en famille)</t>
  </si>
  <si>
    <t>8.3</t>
  </si>
  <si>
    <t>Consultation psychologique ou psychothérapeutique</t>
  </si>
  <si>
    <t>9.1</t>
  </si>
  <si>
    <t>Intervention d'orthopédagogie précoce, de psychomotricité, de logopédie ou d'orthophonie</t>
  </si>
  <si>
    <t>Intervention précoce orthopédagogique</t>
  </si>
  <si>
    <t>11A1</t>
  </si>
  <si>
    <t>Soutien psychosocial par la psychomotricité</t>
  </si>
  <si>
    <t>11B</t>
  </si>
  <si>
    <t>Soutien psychosocial par l'orthophonie - séance pour consultation ou guidance</t>
  </si>
  <si>
    <t>11C1</t>
  </si>
  <si>
    <t>Soutien psychosocial par l'orthophonie - Bilan orthophonique</t>
  </si>
  <si>
    <t>11C2</t>
  </si>
  <si>
    <t>Soutien psychosocial par l'orthophonie - rééducation orthophonique pour troubles de l'articulation ou pour troubles de la déglutition atypique</t>
  </si>
  <si>
    <t>11C3</t>
  </si>
  <si>
    <t>Soutien psychosocial par l'orthophonie - rééducation orthophonique pour troubles du langage oral</t>
  </si>
  <si>
    <t>11C4</t>
  </si>
  <si>
    <t>Soutien psychosocial par l'orthophonie - rééducation orthophonique pour troubles du langage écrit et du raisonnement logico-mathématique</t>
  </si>
  <si>
    <t>11C5</t>
  </si>
  <si>
    <t>11C6</t>
  </si>
  <si>
    <t>Rapport écrit</t>
  </si>
  <si>
    <t>11C7</t>
  </si>
  <si>
    <t>Déplacement</t>
  </si>
  <si>
    <t>11CD</t>
  </si>
  <si>
    <t>Assistance des prestataires</t>
  </si>
  <si>
    <t>Forfait horaire pour l'assistance médicale des prestataires</t>
  </si>
  <si>
    <t>13.1</t>
  </si>
  <si>
    <t>Forfait horaire pour l'assistance médicale des prestataires par le médecin spécialiste</t>
  </si>
  <si>
    <t>13.2</t>
  </si>
  <si>
    <t>Forfait horaire pour l'assistance psychotérapeutique des prestataires</t>
  </si>
  <si>
    <t>14.11</t>
  </si>
  <si>
    <t>Forfait horaire pour l'assistance juridique des prestataires</t>
  </si>
  <si>
    <t>14.2</t>
  </si>
  <si>
    <t>ETP</t>
  </si>
  <si>
    <t>Total</t>
  </si>
  <si>
    <t>Indemnités payées par  organismes tiers pour congés spéciaux (c.politiques, sportifs…)</t>
  </si>
  <si>
    <t>Post-secondaire</t>
  </si>
  <si>
    <t>PS1</t>
  </si>
  <si>
    <t>Secondaire</t>
  </si>
  <si>
    <t>ASF et aux. de vie</t>
  </si>
  <si>
    <t>PS5</t>
  </si>
  <si>
    <t>PE1</t>
  </si>
  <si>
    <t>PE3f</t>
  </si>
  <si>
    <t>PE4</t>
  </si>
  <si>
    <t>PE5f</t>
  </si>
  <si>
    <t>PE6</t>
  </si>
  <si>
    <t>Non qualifié</t>
  </si>
  <si>
    <t>PA1</t>
  </si>
  <si>
    <t>PA3</t>
  </si>
  <si>
    <t>Bac</t>
  </si>
  <si>
    <t>PA4</t>
  </si>
  <si>
    <t>PA5</t>
  </si>
  <si>
    <t>PA6</t>
  </si>
  <si>
    <t>PA7</t>
  </si>
  <si>
    <t>PAM3</t>
  </si>
  <si>
    <t>TOTAL</t>
  </si>
  <si>
    <t>Encadrement</t>
  </si>
  <si>
    <t>C1</t>
  </si>
  <si>
    <t>C4</t>
  </si>
  <si>
    <t>C5</t>
  </si>
  <si>
    <t>C6</t>
  </si>
  <si>
    <t>C7</t>
  </si>
  <si>
    <t>Payées directement par la CNS</t>
  </si>
  <si>
    <t>Remboursées à l'employeur par le biais de la mutualité</t>
  </si>
  <si>
    <t>* Préciser le(s) type(s) de congé(s) ci-dessous</t>
  </si>
  <si>
    <t>Solde</t>
  </si>
  <si>
    <t>EUR</t>
  </si>
  <si>
    <t>Ancienneté</t>
  </si>
  <si>
    <t>Sans diplôme</t>
  </si>
  <si>
    <t>5ème secondaire</t>
  </si>
  <si>
    <t>CATP ou DAP</t>
  </si>
  <si>
    <t>BTS</t>
  </si>
  <si>
    <t>Bachelor</t>
  </si>
  <si>
    <t>Master</t>
  </si>
  <si>
    <t>Paramètres</t>
  </si>
  <si>
    <t>Valeur du point (N.I. 100)</t>
  </si>
  <si>
    <t>Les référentiels temps de travail</t>
  </si>
  <si>
    <t>CCT SAS</t>
  </si>
  <si>
    <t>Jours</t>
  </si>
  <si>
    <t xml:space="preserve">Heures </t>
  </si>
  <si>
    <t>Point de départ</t>
  </si>
  <si>
    <t>Sous-total</t>
  </si>
  <si>
    <t>Déduction congé lié à l'âge</t>
  </si>
  <si>
    <t>Déduction congé social</t>
  </si>
  <si>
    <t>Déduction congé extraordinaire</t>
  </si>
  <si>
    <t>Déduction congé reporté</t>
  </si>
  <si>
    <t>Déduction congé d'allaitement</t>
  </si>
  <si>
    <t>Déduction congé maladie</t>
  </si>
  <si>
    <t>Déduction jour de congé supplémentaire 
(loi PAN flexibilité du travail)</t>
  </si>
  <si>
    <t>Déduction repos travail de nuit</t>
  </si>
  <si>
    <t>Déduction repos weekend</t>
  </si>
  <si>
    <t>Déduction pour permanence</t>
  </si>
  <si>
    <t>Déduction pour permanence travaillée</t>
  </si>
  <si>
    <t>Déduction repos ininterrompu 44 hrs</t>
  </si>
  <si>
    <t>Déduction congés spéciaux</t>
  </si>
  <si>
    <t>Déduction formation continue</t>
  </si>
  <si>
    <t>Déduction réunions de service</t>
  </si>
  <si>
    <t>Impact heures de travail non facturables (réunion d'équipe, coordination interne, entretiens avec salariés, développement concepts et qualité, relations publiques, documentation etc.)</t>
  </si>
  <si>
    <t>Psycho</t>
  </si>
  <si>
    <t>AUSC</t>
  </si>
  <si>
    <t>0-3 ans</t>
  </si>
  <si>
    <t>Type d'accueil</t>
  </si>
  <si>
    <t>Accueil socio-éducatif</t>
  </si>
  <si>
    <t>Accueil orthopédagogique</t>
  </si>
  <si>
    <t>Accueil psychothérapeutique</t>
  </si>
  <si>
    <t>Accueil urgent en situation de crise psychosociale aiguë</t>
  </si>
  <si>
    <t>Accueil de jour ortho</t>
  </si>
  <si>
    <t>Accueil de jour psycho</t>
  </si>
  <si>
    <t>Taux d'occupation</t>
  </si>
  <si>
    <t>Personnel reclassé</t>
  </si>
  <si>
    <t>Congés reportés</t>
  </si>
  <si>
    <t>Heures CNS</t>
  </si>
  <si>
    <t>RTT</t>
  </si>
  <si>
    <t>Proportion des ETP absents</t>
  </si>
  <si>
    <t>Proportion des ETP présents</t>
  </si>
  <si>
    <t>Congés annuels</t>
  </si>
  <si>
    <t>Congés annuels en cas de report</t>
  </si>
  <si>
    <t>Impact congés reportés</t>
  </si>
  <si>
    <t>Heures d'allaitement</t>
  </si>
  <si>
    <t>Femmes allaitantes</t>
  </si>
  <si>
    <t>Femmes allaitantes sans CP</t>
  </si>
  <si>
    <t>Femmes allaitantes avec CP</t>
  </si>
  <si>
    <t>Personnes qui allaitent encore après 4 mois</t>
  </si>
  <si>
    <t>Jours dans 4 mois</t>
  </si>
  <si>
    <t>Personnes qui allaitent encore après 6 mois</t>
  </si>
  <si>
    <t>jours entre 4 et 6 mois</t>
  </si>
  <si>
    <t>Personnes qui allaitent encore après 12 mois</t>
  </si>
  <si>
    <t>Jours entre 6 et 12 mois</t>
  </si>
  <si>
    <t>Pourcentage de femmes qui allaitent après avoir accouché</t>
  </si>
  <si>
    <t>Pourcentage de femmes qui allaitent et prennent le CP</t>
  </si>
  <si>
    <t>Heures de pauses par ETP par jour pour allaitement</t>
  </si>
  <si>
    <t>Nombre d'heures de pause allaitement sans CP</t>
  </si>
  <si>
    <t>Nombre d'heures de pause allaitement avec CP temps plein</t>
  </si>
  <si>
    <t>Total heures d'allaitement</t>
  </si>
  <si>
    <t>Heures par ETP</t>
  </si>
  <si>
    <t>RTT secteur AEF</t>
  </si>
  <si>
    <t>RTT gestionnaire</t>
  </si>
  <si>
    <t>PE7 ASF</t>
  </si>
  <si>
    <t>PE7 non qualifié</t>
  </si>
  <si>
    <t>PE7 Non qualifié</t>
  </si>
  <si>
    <t>Heures totales</t>
  </si>
  <si>
    <t>Tarifs</t>
  </si>
  <si>
    <t>Considérés comme équivalents entre tous les gestionnaires car non évaluables au vu des paramètres demandés</t>
  </si>
  <si>
    <t>Nombre total</t>
  </si>
  <si>
    <t>Nombre par ETP</t>
  </si>
  <si>
    <t>Auto, transport (dont leasing transport)</t>
  </si>
  <si>
    <t>Frais liés aux tâches dédiées à la protection des données</t>
  </si>
  <si>
    <t>C2 non qualifié</t>
  </si>
  <si>
    <t>C2 qualifié</t>
  </si>
  <si>
    <t>C3 non qualifié</t>
  </si>
  <si>
    <t>C3 qualifié</t>
  </si>
  <si>
    <t>Administration/logistique indirectement liée à l'activité</t>
  </si>
  <si>
    <t>Logistique directement liée à l'activité</t>
  </si>
  <si>
    <t xml:space="preserve">Remboursement mutualité
</t>
  </si>
  <si>
    <t>Taux de cotisations patronales</t>
  </si>
  <si>
    <t>Base+</t>
  </si>
  <si>
    <t>Ortho+</t>
  </si>
  <si>
    <t>Nombre d'heures de pause allaitement avec CP mi-temps</t>
  </si>
  <si>
    <t>Déduction congé légal et jours fériés d'usage</t>
  </si>
  <si>
    <t>Justification le cas échéant (si écart entre salaire réel et salaire théorique)</t>
  </si>
  <si>
    <t>Soutien psychosocial par l'orthophonie - rééduc. orthoph. en cas de troubles vélo-tubo-tympaniques, dysphonie dysfonctionnelle ou pour dysfonction pathol. grave vélo-pharyngienne</t>
  </si>
  <si>
    <t>Consult. psychol., psycho-affective, psychothérapeutique ou psychotraumatologique</t>
  </si>
  <si>
    <t>Nombre total exprimé en ETP</t>
  </si>
  <si>
    <t>Nombre total d'heures</t>
  </si>
  <si>
    <t>Maximum cotisable</t>
  </si>
  <si>
    <t>Indice</t>
  </si>
  <si>
    <t>Salaire social minimum (N.I. 100)</t>
  </si>
  <si>
    <t>C5 étoile</t>
  </si>
  <si>
    <t>Travailleurs dédiés à la protection des données</t>
  </si>
  <si>
    <t>Fiche d'aide au calcul de l'ETP</t>
  </si>
  <si>
    <t>exemple 1</t>
  </si>
  <si>
    <t>exemple 2</t>
  </si>
  <si>
    <t>début</t>
  </si>
  <si>
    <t>fin période</t>
  </si>
  <si>
    <t>tâche</t>
  </si>
  <si>
    <t>Fiches d'aide au calcul des ETP</t>
  </si>
  <si>
    <t>54 fiches disponibles</t>
  </si>
  <si>
    <t>profession :</t>
  </si>
  <si>
    <t>Nombre de salariés :</t>
  </si>
  <si>
    <t>Nom :</t>
  </si>
  <si>
    <t>Nombre de mois</t>
  </si>
  <si>
    <t>Données prestataire</t>
  </si>
  <si>
    <t>Différentiel prestataire/ONE</t>
  </si>
  <si>
    <t>Frais de personnel</t>
  </si>
  <si>
    <t>Montant par unité de prestation</t>
  </si>
  <si>
    <t>Montants renseignés</t>
  </si>
  <si>
    <t>Montants renseignés par unité de prestation</t>
  </si>
  <si>
    <t>Valeur du point</t>
  </si>
  <si>
    <t>Sous-total considéré pour la fixation du tarif</t>
  </si>
  <si>
    <t>Déduction congé de paternité</t>
  </si>
  <si>
    <t>Montant prime</t>
  </si>
  <si>
    <t>Taux mutualités des employeurs</t>
  </si>
  <si>
    <t>Taux accident du travail</t>
  </si>
  <si>
    <t>Assurance maladie</t>
  </si>
  <si>
    <t>Assurance pension</t>
  </si>
  <si>
    <t>Majoration pour prestation en espèce</t>
  </si>
  <si>
    <t>Santé au travail</t>
  </si>
  <si>
    <t>Accident au travail</t>
  </si>
  <si>
    <t>Classe 1</t>
  </si>
  <si>
    <t>Classe 2</t>
  </si>
  <si>
    <t>Classe 3</t>
  </si>
  <si>
    <t>Classe 4</t>
  </si>
  <si>
    <t>Classe 5</t>
  </si>
  <si>
    <t>Mutualité</t>
  </si>
  <si>
    <t>Coût salaire annuel</t>
  </si>
  <si>
    <t>C2</t>
  </si>
  <si>
    <t>C3</t>
  </si>
  <si>
    <t>Excédents / pertes</t>
  </si>
  <si>
    <t>Montants à rembourser</t>
  </si>
  <si>
    <t>Encadrement (vérification des normes)</t>
  </si>
  <si>
    <t>Overhead (sauf dispositions légales)</t>
  </si>
  <si>
    <t>Dispositions légales</t>
  </si>
  <si>
    <t>Indice moyen sur l'année</t>
  </si>
  <si>
    <t>Excédents à rembourser</t>
  </si>
  <si>
    <t>Plafond excédent</t>
  </si>
  <si>
    <t>Diviseur recalculé à partir de l'efficience (pour tarif)</t>
  </si>
  <si>
    <t>équiv. tarif de référence</t>
  </si>
  <si>
    <t>Petit groupe</t>
  </si>
  <si>
    <t>Déduction 2 jours de congé extraordinaire (répartis sur 2 ans)</t>
  </si>
  <si>
    <t>Déduction réduction de la flexibilité</t>
  </si>
  <si>
    <t>Déduction dépassement de la durée de travail semi-nette annuelle</t>
  </si>
  <si>
    <t>Déduction abolition de la limitation de la majoration aux seules 4 premières heures de travail</t>
  </si>
  <si>
    <t>Composition des groupes - places agréées</t>
  </si>
  <si>
    <t>Dénomination du groupe</t>
  </si>
  <si>
    <t>Jour d'ouverture</t>
  </si>
  <si>
    <t>Ortho/Psycho</t>
  </si>
  <si>
    <t>Adresse du groupe 1</t>
  </si>
  <si>
    <t>Adresse du groupe 2</t>
  </si>
  <si>
    <t>Adresse du groupe 3</t>
  </si>
  <si>
    <t>Adresse du groupe 4</t>
  </si>
  <si>
    <t>Adresse du groupe 5</t>
  </si>
  <si>
    <t>Adresse du groupe 6</t>
  </si>
  <si>
    <t>Adresse du groupe 7</t>
  </si>
  <si>
    <t>Adresse du groupe 8</t>
  </si>
  <si>
    <t>Adresse du groupe 9</t>
  </si>
  <si>
    <t>Adresse du groupe 10</t>
  </si>
  <si>
    <t>Adresse du groupe 11</t>
  </si>
  <si>
    <t>Adresse du groupe 12</t>
  </si>
  <si>
    <t>Adresse du groupe 13</t>
  </si>
  <si>
    <t>Adresse du groupe 14</t>
  </si>
  <si>
    <t>Adresse du groupe 15</t>
  </si>
  <si>
    <t>Diviseur pondéré</t>
  </si>
  <si>
    <t>Coefficience applicable</t>
  </si>
  <si>
    <t>de l'Enfance et de la Jeunesse</t>
  </si>
  <si>
    <t>Pour le Ministre de l'Education nationale,</t>
  </si>
  <si>
    <t>Non</t>
  </si>
  <si>
    <t>Oui</t>
  </si>
  <si>
    <t>bac</t>
  </si>
  <si>
    <t>OK</t>
  </si>
  <si>
    <t>pièces agréments manquent+ diff nombre forfaits+ subd frais de fonctionnement</t>
  </si>
  <si>
    <t xml:space="preserve">subd frais de fonctionnement </t>
  </si>
  <si>
    <t>pièces agréments manquent+ diff nombre forfaits</t>
  </si>
  <si>
    <t>pièces agréments manquent + subd. Frais de fonctionnement</t>
  </si>
  <si>
    <t>pièces agréments manquent</t>
  </si>
  <si>
    <t>Heures prestées</t>
  </si>
  <si>
    <t>Montant par heure prestée</t>
  </si>
  <si>
    <t>Montant</t>
  </si>
  <si>
    <t>Frais courants de gestion et d'entretiens liés à la prise en charge du bénéficiaire</t>
  </si>
  <si>
    <t>non qualifiées</t>
  </si>
  <si>
    <t>master</t>
  </si>
  <si>
    <t>qualifiés</t>
  </si>
  <si>
    <t>bac+ (non compris master)</t>
  </si>
  <si>
    <t>max 10 % supérieur à la norme</t>
  </si>
  <si>
    <t>%</t>
  </si>
  <si>
    <t>Plafond qualification</t>
  </si>
  <si>
    <t>RTT*82,5%</t>
  </si>
  <si>
    <t>Heures prestées maximales</t>
  </si>
  <si>
    <t>RTT*67,5%</t>
  </si>
  <si>
    <t>Heures prestées minimums</t>
  </si>
  <si>
    <t>MONTANT</t>
  </si>
  <si>
    <t>Carrière</t>
  </si>
  <si>
    <t>Dépenses du personnel directement liées à l'encadrement</t>
  </si>
  <si>
    <t>Réduction frais de formation</t>
  </si>
  <si>
    <t xml:space="preserve">Dépenses liées à l'adm., log.,dir. </t>
  </si>
  <si>
    <t>Travailleur désigné et délégation personnel</t>
  </si>
  <si>
    <t>Personnel de direction</t>
  </si>
  <si>
    <t>Personnel administratif et logistique ind lié à l'activité</t>
  </si>
  <si>
    <t>Personnel log. Direct liés à l'activité</t>
  </si>
  <si>
    <t>Montant par ETP encadrement</t>
  </si>
  <si>
    <t>Dépenses de personnel et frais courants de gestion et d'entretien non liés à la prise en charge du bénéficiaire</t>
  </si>
  <si>
    <t>=nbr ETP encadrement*RTT 2021*75%</t>
  </si>
  <si>
    <t>Diviseur par heures (75% RTT)</t>
  </si>
  <si>
    <t>ETP encadrement</t>
  </si>
  <si>
    <t>Ambulatoire</t>
  </si>
  <si>
    <t>Norme de qualification</t>
  </si>
  <si>
    <t>en heures</t>
  </si>
  <si>
    <t>Résultat (Bénéfice/Perte)</t>
  </si>
  <si>
    <t>Recettes ONE (données ONE)</t>
  </si>
  <si>
    <t>%heures facturées/RTT réalisé par Gestionnaire</t>
  </si>
  <si>
    <t>%heures facturées/RTT</t>
  </si>
  <si>
    <t>Nombre d'heures/ETP encadrement</t>
  </si>
  <si>
    <t>coût par heure</t>
  </si>
  <si>
    <t>Coût du service (FP &amp; FF)</t>
  </si>
  <si>
    <t>VAR/TOTAL</t>
  </si>
  <si>
    <t>TOTAL PERSONNEL</t>
  </si>
  <si>
    <t>Coût horaire</t>
  </si>
  <si>
    <t xml:space="preserve">Montant </t>
  </si>
  <si>
    <t xml:space="preserve">  </t>
  </si>
  <si>
    <t>Différence</t>
  </si>
  <si>
    <t xml:space="preserve">ONE </t>
  </si>
  <si>
    <t>Gestionnaire</t>
  </si>
  <si>
    <t>Fränk Eiffes</t>
  </si>
  <si>
    <t>Attaché</t>
  </si>
  <si>
    <t>Taux</t>
  </si>
  <si>
    <t>Rémun non périod</t>
  </si>
  <si>
    <t>Coeff</t>
  </si>
  <si>
    <t>Affectation</t>
  </si>
  <si>
    <t>Horaire</t>
  </si>
  <si>
    <t>Journalier</t>
  </si>
  <si>
    <t>Paramètres à mettre à jour</t>
  </si>
  <si>
    <t>Nb jours</t>
  </si>
  <si>
    <t>Année d'analyse</t>
  </si>
  <si>
    <t>Niveau qualification</t>
  </si>
  <si>
    <t>Service</t>
  </si>
  <si>
    <t>Activité</t>
  </si>
  <si>
    <t>Nom</t>
  </si>
  <si>
    <t>Prénom</t>
  </si>
  <si>
    <t>Téléphone</t>
  </si>
  <si>
    <t>Mail</t>
  </si>
  <si>
    <t>Place agréées accueil jour et nuit</t>
  </si>
  <si>
    <t>Remplir un fichier par activité</t>
  </si>
  <si>
    <t>Données gestionnaires</t>
  </si>
  <si>
    <t>Categorie</t>
  </si>
  <si>
    <t xml:space="preserve">Nb de forfaits
(en h hors déplacement)
acquittés par l'ONE </t>
  </si>
  <si>
    <t xml:space="preserve">Nb de forfaits déplacement
(en h)
acquittés par l'ONE </t>
  </si>
  <si>
    <t xml:space="preserve">Nb de forfaits 
(en h totale)
acquittés par l'ONE </t>
  </si>
  <si>
    <t xml:space="preserve">Recettes ONE
</t>
  </si>
  <si>
    <t>Total RTT</t>
  </si>
  <si>
    <t>Base/Ortho</t>
  </si>
  <si>
    <t>Efficience min</t>
  </si>
  <si>
    <t>Efficience max</t>
  </si>
  <si>
    <t>Efficience personnel encadrement</t>
  </si>
  <si>
    <t>Equivalent matrice</t>
  </si>
  <si>
    <t>Accueil 0-3 ans</t>
  </si>
  <si>
    <t>Descriptif</t>
  </si>
  <si>
    <t>Nb moyen d'enfants</t>
  </si>
  <si>
    <t>Nb de journées acquittées par l'ONE</t>
  </si>
  <si>
    <t>Type de personnel</t>
  </si>
  <si>
    <t>Personnel</t>
  </si>
  <si>
    <t>Travailleur désigné</t>
  </si>
  <si>
    <t>Délégation du personnel</t>
  </si>
  <si>
    <t>Personnel dédié au RGPD</t>
  </si>
  <si>
    <t>Type de personnel bis</t>
  </si>
  <si>
    <t>Prestation</t>
  </si>
  <si>
    <t>Nb heures théoriques</t>
  </si>
  <si>
    <t>Grade</t>
  </si>
  <si>
    <t>Maladies - Personnel d'encadrement</t>
  </si>
  <si>
    <t>Heures de maladie de courte durée (personnel d'encadrement uniquement)</t>
  </si>
  <si>
    <t>Ancienneté en nb d'années (au 31/12 ou date de sortie pour personnel sortant)</t>
  </si>
  <si>
    <t>ETP après déduction des h de maladie</t>
  </si>
  <si>
    <t>Formations et supervisions - Personnel d'encadrement</t>
  </si>
  <si>
    <t>Accouchement - Personnel d'encadrement</t>
  </si>
  <si>
    <t>Samedis/Dimanches</t>
  </si>
  <si>
    <t>Nb h/j</t>
  </si>
  <si>
    <t>Nb fériés</t>
  </si>
  <si>
    <t>Nb de congés legaux</t>
  </si>
  <si>
    <t>Heures CNS exprimées en ETP - Personnel d'encadrement</t>
  </si>
  <si>
    <t>Femmes allaitantes avec CP à temps plein</t>
  </si>
  <si>
    <t>Femmes allaitantes avec CP à mi-temps</t>
  </si>
  <si>
    <t>Pourcentage de femmes qui allaitent et prennent le CP à temps plein</t>
  </si>
  <si>
    <t>Pourcentage de femmes qui allaitent et prennent le CP à mi-temps</t>
  </si>
  <si>
    <t>Déduction jours fériés (conv. congé inclus)</t>
  </si>
  <si>
    <t>F4 - Heures de formations, maladies et accouchements - Calcul du RTT</t>
  </si>
  <si>
    <t>Type frais/recettes</t>
  </si>
  <si>
    <t>Frais/recettes</t>
  </si>
  <si>
    <t>Chargé de direction/direction générale</t>
  </si>
  <si>
    <t>Niveau qualification ministère</t>
  </si>
  <si>
    <t>Déduction FOCO</t>
  </si>
  <si>
    <t>Bachelor et plus (minimum)</t>
  </si>
  <si>
    <t>Baccalauréat</t>
  </si>
  <si>
    <t>Auxiliaire de vie et ASF (maximum)</t>
  </si>
  <si>
    <t>Autres qualifications (maximum)</t>
  </si>
  <si>
    <t>Libellés recettes</t>
  </si>
  <si>
    <t>Libellés dépenses</t>
  </si>
  <si>
    <t>Dont personnel d'encadrement</t>
  </si>
  <si>
    <t>Dont personnel logistique directement lié à l'activité</t>
  </si>
  <si>
    <t>Dont personnel administratif/logistique indirectement lié à l'activité</t>
  </si>
  <si>
    <t>Dont délégation du personnel et travailleurs désignés</t>
  </si>
  <si>
    <t>Dont personnel dédié à la protection des données</t>
  </si>
  <si>
    <t>Prestation 7 - Personnel uniquement</t>
  </si>
  <si>
    <t>Prestation 8.1 - Personnel uniquement</t>
  </si>
  <si>
    <t>Prestation 8.2 - Personnel uniquement</t>
  </si>
  <si>
    <t>Prestation 8.3 - Personnel uniquement</t>
  </si>
  <si>
    <t>Prestation 9.1 - Personnel uniquement</t>
  </si>
  <si>
    <t>Prestation 11 - Personnel uniquement</t>
  </si>
  <si>
    <t>Prestation base-ortho - Personnel uniquement</t>
  </si>
  <si>
    <t>Prestation psycho - Personnel uniquement</t>
  </si>
  <si>
    <t>Prestation AUSC - Personnel uniquement</t>
  </si>
  <si>
    <t>Prestation 0-3 ans - Personnel uniquement</t>
  </si>
  <si>
    <t>Prestation petit groupe - Personnel uniquement</t>
  </si>
  <si>
    <t>Modifs</t>
  </si>
  <si>
    <t>Equivalent carrière</t>
  </si>
  <si>
    <t>Pas de ligne vide dans le tableau svp !</t>
  </si>
  <si>
    <t>Prestation accueil de jour ortho - Personnel uniquement</t>
  </si>
  <si>
    <t>Prestation accueil de jour psycho - Personnel uniquement</t>
  </si>
  <si>
    <t>Période de … à …</t>
  </si>
  <si>
    <t>Service stationnaire</t>
  </si>
  <si>
    <t>Service ambulatoire</t>
  </si>
  <si>
    <t>Identifant</t>
  </si>
  <si>
    <t>Identifiant</t>
  </si>
  <si>
    <t>Déplacement 7</t>
  </si>
  <si>
    <t>Déplacement 8.1</t>
  </si>
  <si>
    <t>Dépacement 8.3</t>
  </si>
  <si>
    <t>Dépacement 9.1</t>
  </si>
  <si>
    <t>Dépacement 11A1</t>
  </si>
  <si>
    <t>Tarif</t>
  </si>
  <si>
    <t>Diviseur</t>
  </si>
  <si>
    <t/>
  </si>
  <si>
    <t>Dont chargé de direction/direction générale</t>
  </si>
  <si>
    <t>Coefficient applicable</t>
  </si>
  <si>
    <t>F5 - Frais et recettes</t>
  </si>
  <si>
    <t>Stagiaire, apprenti, étudiant</t>
  </si>
  <si>
    <t>Dont stagiaire, apprenti, étudiant</t>
  </si>
  <si>
    <t>Code fichier</t>
  </si>
  <si>
    <t>S01</t>
  </si>
  <si>
    <t>S02</t>
  </si>
  <si>
    <t>S03</t>
  </si>
  <si>
    <t>S04</t>
  </si>
  <si>
    <t>S05</t>
  </si>
  <si>
    <t>S06</t>
  </si>
  <si>
    <t>Prestation fichier</t>
  </si>
  <si>
    <t>-</t>
  </si>
  <si>
    <t>Besoin ETP</t>
  </si>
  <si>
    <t>Réel ETP</t>
  </si>
  <si>
    <t>Test ETP</t>
  </si>
  <si>
    <t>Besoin qualif univ</t>
  </si>
  <si>
    <t>Réel qualif univ</t>
  </si>
  <si>
    <t>Test qualif univ</t>
  </si>
  <si>
    <t>Besoin post second</t>
  </si>
  <si>
    <t>Réel post second</t>
  </si>
  <si>
    <t>Test post second</t>
  </si>
  <si>
    <t>C7-C6-C5</t>
  </si>
  <si>
    <t>Besoin second</t>
  </si>
  <si>
    <t>Réel second</t>
  </si>
  <si>
    <t>Test second</t>
  </si>
  <si>
    <t>Besoin auxiliaire de vie</t>
  </si>
  <si>
    <t>Réel auxiliaire de vie</t>
  </si>
  <si>
    <t>Test auxiliaire de vie</t>
  </si>
  <si>
    <t>Contrôle</t>
  </si>
  <si>
    <t>Carrière equivalent</t>
  </si>
  <si>
    <t>Sum of Pondération ancienneté/ETP</t>
  </si>
  <si>
    <t>Sum ETP hors negatif</t>
  </si>
  <si>
    <t>Ancienneté moyenne pondérée</t>
  </si>
  <si>
    <t>FP actualisé par ETP</t>
  </si>
  <si>
    <t>11</t>
  </si>
  <si>
    <t>7</t>
  </si>
  <si>
    <t>S07</t>
  </si>
  <si>
    <t>S08</t>
  </si>
  <si>
    <t>A01</t>
  </si>
  <si>
    <t>A02</t>
  </si>
  <si>
    <t>A03</t>
  </si>
  <si>
    <t>A04</t>
  </si>
  <si>
    <t>A05</t>
  </si>
  <si>
    <t>A06</t>
  </si>
  <si>
    <t>C3/C2 (qualifiés)</t>
  </si>
  <si>
    <t>C3/C2 (non qualifiés)-C1</t>
  </si>
  <si>
    <t>Réel</t>
  </si>
  <si>
    <t>Besoin</t>
  </si>
  <si>
    <t>Besoin corrigé eff</t>
  </si>
  <si>
    <t>Résultat test en ETP :</t>
  </si>
  <si>
    <t>Résultat test en qualif :</t>
  </si>
  <si>
    <t>Besoin non qualif</t>
  </si>
  <si>
    <t>Réel non qualif</t>
  </si>
  <si>
    <t>Test non qualif</t>
  </si>
  <si>
    <t>Frais directement liés à l'execution de la mesure</t>
  </si>
  <si>
    <t>Frais non directement liés à l'execution de la mesure</t>
  </si>
  <si>
    <t>Dépenses</t>
  </si>
  <si>
    <t>Recettes</t>
  </si>
  <si>
    <t>Frais dédiés à l'enfant</t>
  </si>
  <si>
    <t>Sous-traitance administration</t>
  </si>
  <si>
    <t>Reste ETP</t>
  </si>
  <si>
    <t>Montant à rembourser :</t>
  </si>
  <si>
    <t>Forfait 7 :</t>
  </si>
  <si>
    <t>Normes test plausibilité</t>
  </si>
  <si>
    <t>Normes agrément jour</t>
  </si>
  <si>
    <t>Normes agrément nuit</t>
  </si>
  <si>
    <t>Frais liés à l'infrastructure</t>
  </si>
  <si>
    <t>Données ONE (à remplir par MENJE)</t>
  </si>
  <si>
    <t>Frais et recettes à renseigner en positif. Attention, il ne faut inclure ici que les depenses/recettes qui ne sont pas conventionnées donc pas de montants financés par convention batiment, convention frais specifiques et pas de supplements famille d'acceuil</t>
  </si>
  <si>
    <t>Synthèse ETP</t>
  </si>
  <si>
    <t>Encadrants</t>
  </si>
  <si>
    <t>Non encadrants (hors spécifique)</t>
  </si>
  <si>
    <t>Période de janvier 2025 à avril 2025</t>
  </si>
  <si>
    <t>Période de mai 2025 à décembre 2025</t>
  </si>
  <si>
    <t>Nb de places agréées proratisées par jour</t>
  </si>
  <si>
    <t>Nb de places agréées proratisées annuelles</t>
  </si>
  <si>
    <t>Date :</t>
  </si>
  <si>
    <t>Administration</t>
  </si>
  <si>
    <t>Eligibilité prime unique (si contrat effectif au ...)</t>
  </si>
  <si>
    <t>Prime unique (charge brute totale + part patronale)</t>
  </si>
  <si>
    <t>Pécule de vacances (charge brute totale + part patronale)</t>
  </si>
  <si>
    <t>Autres remboursements (p.ex. ADEM)</t>
  </si>
  <si>
    <t>Places agrées</t>
  </si>
  <si>
    <t>Places agrées proratisées</t>
  </si>
  <si>
    <t>Recettes issues de l’activité d’encadrement de l’enfant</t>
  </si>
  <si>
    <t>Recettes liés à l'infrastructure</t>
  </si>
  <si>
    <t>Recettes liés aux tâches dédiées à la protection des données</t>
  </si>
  <si>
    <t>Indiquer les FP utilisés pour le calcul des tarifs en vigueur durant l'année recensée (en théorie N-2)</t>
  </si>
  <si>
    <t>Exceptionellement, on utilisera l'année 2024 sur le recensement 2025 mais cela aurait du etre calculé sur 2022 car pas de recensement complet en 2023.</t>
  </si>
  <si>
    <t>Test de plausibilité</t>
  </si>
  <si>
    <t>Test d'agrément</t>
  </si>
  <si>
    <t>Forfait 7</t>
  </si>
  <si>
    <t>Pour le forfait 7, deux conditions doivent être respectées :</t>
  </si>
  <si>
    <t>Au moins 80 % du PE doit être qualifié.</t>
  </si>
  <si>
    <t>Au maximum 20 % du PE qualifié peut être de type ADV.</t>
  </si>
  <si>
    <t>Cas 1 :</t>
  </si>
  <si>
    <t>Si la première condition n’est pas respectée mais que la deuxième l’est, on vérifie s’il est possible de transférer un maximum de PE non qualifié vers du C2 qualifié.</t>
  </si>
  <si>
    <t>Lorsque la limite est atteinte, le solde est transféré vers du C4.</t>
  </si>
  <si>
    <t>Pour calculer la différence de salaire, on prend la moyenne des salaires du PE non qualifié et on y ajoute l’écart avec la moyenne des salaires du C2 ou du C4 de l’année N-1.</t>
  </si>
  <si>
    <t>Cas 2 :</t>
  </si>
  <si>
    <t>Si la deuxième condition n’est pas respectée mais que la première l’est, on vérifie s’il est possible de transférer un maximum de PE ADV vers du C1.</t>
  </si>
  <si>
    <t>Pour calculer la différence de salaire, on prend la moyenne des salaires du PE ADV et on y ajoute l’écart avec la moyenne des salaires du C1 ou du C4 de l’année N-1.</t>
  </si>
  <si>
    <t>Cas 3 :</t>
  </si>
  <si>
    <t>Si les deux conditions ne sont pas respectées, on transfère la totalité de l’écart lié à la première condition vers du C4.</t>
  </si>
  <si>
    <t>Pour les autres forfaits, on vérifie si les minimums sont respectés.</t>
  </si>
  <si>
    <t>Dans le cas contraire, on calcule la moyenne des salaires (hors C6/C7), puis on ajoute l’écart avec la moyenne des C6 de l’année N-1.</t>
  </si>
  <si>
    <t>Pour le forfait 9.1, la référence est le C7 pour les deux paramètres.</t>
  </si>
  <si>
    <t>Stationnaire</t>
  </si>
  <si>
    <t>On identifie simplement les conditions non respectées et on calcule le delta nécessaire pour les satisfaire.</t>
  </si>
  <si>
    <t>On vérifie ensuite si le total est respecté.</t>
  </si>
  <si>
    <t>Si ce n’est pas le cas, on compense selon le principe du moins coûteux vers le plus coûteux, en fonction des possibilités.</t>
  </si>
  <si>
    <t>Prendre en compte des compensations entre carrières rendrait le modèle excessivement complexe, compte tenu du nombre de conditions par forfait.</t>
  </si>
  <si>
    <t>De toute façon, compenser une carrière par une autre aurait un impact limité si le total n’est pas respecté, car, in fine, il faudra tout de même recruter des ETP.</t>
  </si>
  <si>
    <t>Conditions à respecter dans la realisation du recensement :</t>
  </si>
  <si>
    <r>
      <t xml:space="preserve">F0 - Bien renseigner </t>
    </r>
    <r>
      <rPr>
        <b/>
        <sz val="11"/>
        <color rgb="FFFF0000"/>
        <rFont val="Calibri"/>
        <family val="2"/>
        <scheme val="minor"/>
      </rPr>
      <t xml:space="preserve">TOUTES </t>
    </r>
    <r>
      <rPr>
        <sz val="11"/>
        <color theme="1"/>
        <rFont val="Calibri"/>
        <family val="2"/>
        <scheme val="minor"/>
      </rPr>
      <t>les cellules bleues</t>
    </r>
  </si>
  <si>
    <t>F1 (J) - Bien renseigner le nombre de jours d'ouvertures pour chaque adresse et renseigner les cellules bleues avec le nombre de places agrées (donc sans tenir compte du nombre de jours d'ouvertures car le calcul se fait en auto dans les cellules grisées). Par contre, si le nombre de places est augmenté pour augemnter la clé d'encadrement, faut-il indiquer les 6 ou les 8 places ?</t>
  </si>
  <si>
    <t>F2 (J) - Vérifier que la cellule K1 fait bien 0 sinon cela signifie qu'il y a un écart entre les places agrées proratisées de l'onglet F1 avec les places proratisées renseignées dans l'onglet F2. Les deux chiffres doivent absoluement coller et la différence doit ainsi faire 0</t>
  </si>
  <si>
    <t>F2 - Eviter un maximum de melanger des forfaits car cela complique le calcul des tarifs notamment le calcul des diviseurs qu'il faut recalculer en appliquant des coefficients et l'efficience. Surtout pour l'ambulatoire.</t>
  </si>
  <si>
    <r>
      <t xml:space="preserve">F2 - </t>
    </r>
    <r>
      <rPr>
        <b/>
        <sz val="11"/>
        <color rgb="FFFF0000"/>
        <rFont val="Calibri"/>
        <family val="2"/>
        <scheme val="minor"/>
      </rPr>
      <t>Interdiction</t>
    </r>
    <r>
      <rPr>
        <b/>
        <sz val="11"/>
        <rFont val="Calibri"/>
        <family val="2"/>
        <scheme val="minor"/>
      </rPr>
      <t xml:space="preserve"> </t>
    </r>
    <r>
      <rPr>
        <sz val="11"/>
        <rFont val="Calibri"/>
        <family val="2"/>
        <scheme val="minor"/>
      </rPr>
      <t>de melanger des forfaits ambulatoires et stationnaires dans un même fichier car le test de plausibilité ne fonctionnera pas et le calcul des tarifs sera faussé. Pour les encadants stationnaires qui realisent des prestations 8.1, il faut créer un fichier 8.1 à part du 8.1 classique et le preciser dans le nom du fichier svp. ils feront l'objet d'une analyse à part et ne seront pas inclus dans le calcul du tarif 8.1 et base/ortho. Pas possible de déduire la facturation sur les frais de fonctionnement car cela fausse le calcul du coefficient</t>
    </r>
  </si>
  <si>
    <t>F2 - Ne pas renseigner les cellules oranges</t>
  </si>
  <si>
    <r>
      <t xml:space="preserve">F3 - Renseigner </t>
    </r>
    <r>
      <rPr>
        <b/>
        <sz val="11"/>
        <color rgb="FFFF0000"/>
        <rFont val="Calibri"/>
        <family val="2"/>
        <scheme val="minor"/>
      </rPr>
      <t>TOUTES</t>
    </r>
    <r>
      <rPr>
        <sz val="11"/>
        <color theme="1"/>
        <rFont val="Calibri"/>
        <family val="2"/>
        <scheme val="minor"/>
      </rPr>
      <t xml:space="preserve"> les cellules bleues et ne surtout pas laisser des type de personnel, affectation, carrières, anciennetés ou des ETP vides</t>
    </r>
  </si>
  <si>
    <r>
      <t xml:space="preserve">F3 - </t>
    </r>
    <r>
      <rPr>
        <b/>
        <sz val="11"/>
        <color rgb="FFFF0000"/>
        <rFont val="Calibri"/>
        <family val="2"/>
        <scheme val="minor"/>
      </rPr>
      <t xml:space="preserve">Interdiction </t>
    </r>
    <r>
      <rPr>
        <sz val="11"/>
        <color theme="1"/>
        <rFont val="Calibri"/>
        <family val="2"/>
        <scheme val="minor"/>
      </rPr>
      <t>de mettre des ETP en negatif. Des montants peuvent être négatifs dans des cas exceptionnels mais pas les ETP (au moins mettre 0)</t>
    </r>
  </si>
  <si>
    <t>F5 - Inclure uniquement frais/recettes non conventionnés. Ne pas inclure toutes les depenses recettes liés à une convention (batiment, frais specifiques et pas de supplements famille d'acceuil). Penser à utiliser la colonne AIDE qui se trouve dans cet onglet</t>
  </si>
  <si>
    <t>F5 - Suppression de la mention "formation exclues" dans la categorie admin car certaines formations ne sont pas financés par l'agence (hors dispositif AEF)</t>
  </si>
  <si>
    <t>Test de plausibilité - Cet onglet indique si le test est reussi ou non. S'il ne l'est pas, une simulation de remboursement à titre indicative est desormais calculée. Ce point doit encore etre validé par le MENJE.</t>
  </si>
  <si>
    <t>Important : pour la repartition des frais de personnels non encadrants et les frais de fonctionnement, merci de respecter une certaine logique et de ne pas repartir aléatoirement. Si vous ne savez pas affecter directement ces charges, merci d'utiliser des clés de repartition basées sur la facturation ou les ETP encadrants svp</t>
  </si>
  <si>
    <t>Merci egalement de bien recontrôler vos chiffres avant l'envoi de ce recensement, l'an dernier un gestionnaire m'a envoyé ses charges locatives en double ce qui a eu un impact impoortant dans le calcul des coeffciients dans le cadre de la nouvelle loi de financement.</t>
  </si>
  <si>
    <t>Ajouter un commentaire si K1 n'est pas egale au total proratisé</t>
  </si>
  <si>
    <t>Isoler le 8.1 a part des fichiers stationnaires (demander à recevoir un fichier à part et preciser dans le nom du fichier pour ne pas les inclure dans la consolidation). Ce fichier ne devra etre complété que pour les 8.1 qui sont presté par du personnel stationnaire et ne concedrne pas les services ambulatoires qui prestent en interne (préparation retour en famille)</t>
  </si>
  <si>
    <t>Ajouter un commentaire ne pas remplir les oranges</t>
  </si>
  <si>
    <t>Pour RGPD, inclure dans administration et dans le F3 mettrre dans admin non directement lié</t>
  </si>
  <si>
    <t>Rempacer echec par non reussi dans le test de plausibilité</t>
  </si>
  <si>
    <t>Mettre toutes les depenses non conventionnés, tout ce qui est conventionné ne doit pas apparaitre que ce soit du loyer ou non (donc tout ce qui est slemo, supplement famille d'acceuil pour acceuil familiale)</t>
  </si>
  <si>
    <t>Enlever le formation exclues car il y a des formations qui ne sont pas financées par les agences</t>
  </si>
  <si>
    <t>Mettre 82,5% taux facturation dans le fichier de calcul dotation 8.1 stationnaire</t>
  </si>
  <si>
    <t>Remettre le RGPD dans la liste deroulante</t>
  </si>
  <si>
    <t>Mettre le RGPD dans une ligne distincte à nouveau dans le F5</t>
  </si>
  <si>
    <t>Ajouter une colonne prime unique et pecule de vacances</t>
  </si>
  <si>
    <t>Suppression de l'onglet F1 H</t>
  </si>
  <si>
    <t>Suppression du split par activité dans l'onglet F1 J</t>
  </si>
  <si>
    <t>Suppression de la partie demande adressée au FI dans l'onglet F5</t>
  </si>
  <si>
    <t>Base de calcul du test de plausibilité doit etre celle qui a servi à calculer les tarifs dans l'année de recensement en vigueur. Theoriquement en 2025, on devrait donc ujtiliser les données 2023 mais comem il n'y a pas eu de recensement on devrait se baser sur 2022 mais par simplification on va utiiser 2024 et ajouter index, glissement et primes...</t>
  </si>
  <si>
    <t>Suppression de la colonne oui/non pour la prime ainsi que retrait de la prime unique et du pécule dans le calcul du salaire theorique car c'est faussé par l'ETP qui ets une moyenne annuelle ici et non un ETP contrat comme dans l'annexe G</t>
  </si>
  <si>
    <t>ETP moyen annuel</t>
  </si>
  <si>
    <t>F3 - Relevé du personnel - Spécifique</t>
  </si>
  <si>
    <t>F3 - Relevé du personnel - Effectif</t>
  </si>
  <si>
    <t>Modif dans F3 pour ETP en ETP moyen annuel.</t>
  </si>
  <si>
    <t>Supprresion colonne cpout salaire avant remboursements</t>
  </si>
  <si>
    <t>Ajout d'un contrôle en cas de manque de justifications et CF sur la justification si vide</t>
  </si>
  <si>
    <t>Colonnes calculées deplacées tout à droite dans les onglets F3</t>
  </si>
  <si>
    <t>Ajout d'une liste deroulante en cascade en F0</t>
  </si>
  <si>
    <t>Salaire pour l'année de recensement (charge brute totale + part patronale, y compris 13ème mois hors prime unique et pécule de vacances)</t>
  </si>
  <si>
    <t>Primes et suppléments pour l'année de recensement (et part patronale y liés hors prime unique et pécule de vacances)</t>
  </si>
  <si>
    <t>Modif en tete salaires afin d'ajouter hors PU et PV</t>
  </si>
  <si>
    <t>Suppresion des colones factures complementaires et renommage des colonnes recettes dans le J</t>
  </si>
  <si>
    <t>Modification de la colonne aide dans F5 pour sous traitance entretien</t>
  </si>
  <si>
    <t>Cellules grisées dans l'onglet F5 car pu probables</t>
  </si>
  <si>
    <t>Frais de fonctionnement</t>
  </si>
  <si>
    <t>Résultat</t>
  </si>
  <si>
    <t>Libellés</t>
  </si>
  <si>
    <t>Modifications libellés onglet F6 + libellés FI + libellés benefice/perte</t>
  </si>
  <si>
    <t>F6 - Résultat</t>
  </si>
  <si>
    <t>Sous-traitance entretien, réparation, ménage, cuisine…</t>
  </si>
  <si>
    <t>Salaire brut estimé sur une année (charge brute totale + part patronale, y compris 13ème mois hors prime unique et pécule de vacances)</t>
  </si>
  <si>
    <t>Contrôle (95 - 105%) salaire réel/théorique</t>
  </si>
  <si>
    <t>Modification libellés colonne controles dans F3</t>
  </si>
  <si>
    <t>Nom Prénom :</t>
  </si>
  <si>
    <t>Deduction des plafonds dépassés :</t>
  </si>
  <si>
    <t>C6/C5</t>
  </si>
  <si>
    <t>C7/C6/C5</t>
  </si>
  <si>
    <t>C3/C2 (NQ)/C1</t>
  </si>
  <si>
    <t xml:space="preserve"> </t>
  </si>
  <si>
    <t>C3/C2 (Q)</t>
  </si>
  <si>
    <t>Volume ETP</t>
  </si>
  <si>
    <t>Nom/Prénom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</si>
</sst>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64" formatCode="_-* #,##0.00\ &quot;€&quot;_-;\-* #,##0.00\ &quot;€&quot;_-;_-* &quot;-&quot;??\ &quot;€&quot;_-;_-@_-"/>
    <numFmt numFmtId="165" formatCode="[$-140C]General"/>
    <numFmt numFmtId="166" formatCode="&quot; &quot;#,##0.00&quot;    &quot;;&quot;-&quot;#,##0.00&quot;    &quot;;&quot; -&quot;#&quot;    &quot;;&quot; &quot;@&quot; &quot;"/>
    <numFmt numFmtId="167" formatCode="&quot; &quot;#,##0.00&quot; € &quot;;&quot;-&quot;#,##0.00&quot; € &quot;;&quot; -&quot;#&quot; € &quot;;&quot; &quot;@&quot; &quot;"/>
    <numFmt numFmtId="168" formatCode="[$-140C]0.00"/>
    <numFmt numFmtId="169" formatCode="#,##0.00&quot; €&quot;"/>
    <numFmt numFmtId="170" formatCode="#,##0.00000\ &quot;€&quot;"/>
    <numFmt numFmtId="171" formatCode="#,##0\ &quot;€&quot;"/>
    <numFmt numFmtId="172" formatCode="0.0000"/>
    <numFmt numFmtId="173" formatCode="#,##0.00\ &quot;€&quot;"/>
    <numFmt numFmtId="174" formatCode="[$-140C]d/m/yy"/>
    <numFmt numFmtId="175" formatCode="[$-140C]0"/>
    <numFmt numFmtId="176" formatCode="_(* #,##0.00_);_(* \(#,##0.00\);_(* &quot;-&quot;??_);_(@_)"/>
    <numFmt numFmtId="177" formatCode="_-* #,##0.00\ [$€-46E]_-;\-* #,##0.00\ [$€-46E]_-;_-* &quot;-&quot;??\ [$€-46E]_-;_-@_-"/>
    <numFmt numFmtId="178" formatCode="_-* #,##0.0000\ &quot;€&quot;_-;\-* #,##0.0000\ &quot;€&quot;_-;_-* &quot;-&quot;??\ &quot;€&quot;_-;_-@_-"/>
    <numFmt numFmtId="179" formatCode="_-* #,##0.00\ _€_-;\-* #,##0.00\ _€_-;_-* &quot;-&quot;??\ _€_-;_-@_-"/>
  </numFmts>
  <fonts count="49"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font>
    <font>
      <sz val="10"/>
      <color rgb="FF000000"/>
      <name val="Arial"/>
      <family val="2"/>
    </font>
    <font>
      <sz val="11"/>
      <color theme="1"/>
      <name val="Arial"/>
      <family val="2"/>
    </font>
    <font>
      <sz val="8"/>
      <color rgb="FF000000"/>
      <name val="Calibri"/>
      <family val="2"/>
      <scheme val="minor"/>
    </font>
    <font>
      <b/>
      <sz val="12"/>
      <color theme="1"/>
      <name val="Calibri"/>
      <family val="2"/>
      <scheme val="minor"/>
    </font>
    <font>
      <sz val="11"/>
      <color rgb="FF000000"/>
      <name val="Calibri"/>
      <family val="2"/>
      <scheme val="minor"/>
    </font>
    <font>
      <b/>
      <sz val="16"/>
      <color theme="0"/>
      <name val="Calibri"/>
      <family val="2"/>
      <scheme val="minor"/>
    </font>
    <font>
      <b/>
      <sz val="12"/>
      <name val="Calibri"/>
      <family val="2"/>
      <scheme val="minor"/>
    </font>
    <font>
      <sz val="11"/>
      <name val="Calibri"/>
      <family val="2"/>
      <scheme val="minor"/>
    </font>
    <font>
      <b/>
      <sz val="11"/>
      <name val="Calibri"/>
      <family val="2"/>
      <scheme val="minor"/>
    </font>
    <font>
      <i/>
      <sz val="11"/>
      <color theme="1"/>
      <name val="Calibri"/>
      <family val="2"/>
      <scheme val="minor"/>
    </font>
    <font>
      <b/>
      <sz val="10"/>
      <color rgb="FF000000"/>
      <name val="Calibri"/>
      <family val="2"/>
      <scheme val="minor"/>
    </font>
    <font>
      <b/>
      <sz val="11"/>
      <color rgb="FF000000"/>
      <name val="Calibri"/>
      <family val="2"/>
      <scheme val="minor"/>
    </font>
    <font>
      <b/>
      <sz val="14"/>
      <color rgb="FF000000"/>
      <name val="Calibri"/>
      <family val="2"/>
      <scheme val="minor"/>
    </font>
    <font>
      <sz val="12"/>
      <color rgb="FF000000"/>
      <name val="Calibri"/>
      <family val="2"/>
      <scheme val="minor"/>
    </font>
    <font>
      <b/>
      <sz val="11"/>
      <color theme="0"/>
      <name val="Calibri"/>
      <family val="2"/>
      <scheme val="minor"/>
    </font>
    <font>
      <b/>
      <sz val="14"/>
      <color theme="1"/>
      <name val="Calibri"/>
      <family val="2"/>
      <scheme val="minor"/>
    </font>
    <font>
      <b/>
      <sz val="16"/>
      <color theme="1"/>
      <name val="Calibri"/>
      <family val="2"/>
      <scheme val="minor"/>
    </font>
    <font>
      <b/>
      <sz val="14"/>
      <color theme="0"/>
      <name val="Calibri"/>
      <family val="2"/>
      <scheme val="minor"/>
    </font>
    <font>
      <sz val="10"/>
      <color theme="1"/>
      <name val="Calibri"/>
      <family val="2"/>
      <scheme val="minor"/>
    </font>
    <font>
      <b/>
      <sz val="11"/>
      <color rgb="FFFF0000"/>
      <name val="Calibri"/>
      <family val="2"/>
      <scheme val="minor"/>
    </font>
    <font>
      <sz val="11"/>
      <color theme="0"/>
      <name val="Calibri"/>
      <family val="2"/>
      <scheme val="minor"/>
    </font>
    <font>
      <sz val="10"/>
      <color rgb="FF000000"/>
      <name val="Calibri"/>
      <family val="2"/>
      <scheme val="minor"/>
    </font>
    <font>
      <sz val="9"/>
      <color rgb="FF000000"/>
      <name val="Calibri"/>
      <family val="2"/>
      <scheme val="minor"/>
    </font>
    <font>
      <b/>
      <sz val="14"/>
      <color rgb="FFFF0000"/>
      <name val="Calibri"/>
      <family val="2"/>
      <scheme val="minor"/>
    </font>
    <font>
      <b/>
      <sz val="20"/>
      <color rgb="FF000000"/>
      <name val="Calibri"/>
      <family val="2"/>
    </font>
    <font>
      <b/>
      <sz val="11"/>
      <color rgb="FF000000"/>
      <name val="Calibri"/>
      <family val="2"/>
    </font>
    <font>
      <b/>
      <i/>
      <sz val="16"/>
      <color rgb="FF000000"/>
      <name val="Calibri"/>
      <family val="2"/>
    </font>
    <font>
      <b/>
      <sz val="10"/>
      <color rgb="FF000000"/>
      <name val="Calibri"/>
      <family val="2"/>
    </font>
    <font>
      <b/>
      <sz val="14"/>
      <color rgb="FF000000"/>
      <name val="Calibri"/>
      <family val="2"/>
    </font>
    <font>
      <b/>
      <sz val="9"/>
      <color rgb="FF000000"/>
      <name val="Calibri"/>
      <family val="2"/>
    </font>
    <font>
      <sz val="9"/>
      <color rgb="FF000000"/>
      <name val="Calibri"/>
      <family val="2"/>
    </font>
    <font>
      <sz val="11"/>
      <color rgb="FFFF0000"/>
      <name val="Calibri"/>
      <family val="2"/>
      <scheme val="minor"/>
    </font>
    <font>
      <b/>
      <sz val="16"/>
      <color rgb="FF000000"/>
      <name val="Calibri"/>
      <family val="2"/>
      <scheme val="minor"/>
    </font>
    <font>
      <b/>
      <u/>
      <sz val="11"/>
      <color theme="1"/>
      <name val="Calibri"/>
      <family val="2"/>
      <scheme val="minor"/>
    </font>
    <font>
      <b/>
      <sz val="12"/>
      <color rgb="FFFF0000"/>
      <name val="Calibri"/>
      <family val="2"/>
      <scheme val="minor"/>
    </font>
    <font>
      <b/>
      <sz val="18"/>
      <color rgb="FFFF0000"/>
      <name val="Calibri"/>
      <family val="2"/>
      <scheme val="minor"/>
    </font>
    <font>
      <sz val="8"/>
      <name val="Calibri"/>
      <family val="2"/>
      <scheme val="minor"/>
    </font>
    <font>
      <b/>
      <sz val="12"/>
      <color rgb="FFC00000"/>
      <name val="Calibri"/>
      <family val="2"/>
      <scheme val="minor"/>
    </font>
    <font>
      <b/>
      <sz val="16"/>
      <color rgb="FFFF0000"/>
      <name val="Calibri"/>
      <family val="2"/>
      <scheme val="minor"/>
    </font>
    <font>
      <b/>
      <i/>
      <u/>
      <sz val="11"/>
      <color theme="1"/>
      <name val="Calibri"/>
      <family val="2"/>
      <scheme val="minor"/>
    </font>
    <font>
      <b/>
      <sz val="11"/>
      <color rgb="FFC00000"/>
      <name val="Calibri"/>
      <family val="2"/>
      <scheme val="minor"/>
    </font>
    <font>
      <sz val="11"/>
      <color rgb="FFC00000"/>
      <name val="Calibri"/>
      <family val="2"/>
      <scheme val="minor"/>
    </font>
    <font>
      <b/>
      <sz val="11"/>
      <color theme="1"/>
      <name val="Calibri"/>
      <family val="2"/>
    </font>
    <font>
      <i/>
      <sz val="11"/>
      <color rgb="FFFF0000"/>
      <name val="Calibri"/>
      <family val="2"/>
      <scheme val="minor"/>
    </font>
    <font>
      <sz val="11"/>
      <color rgb="FF00B050"/>
      <name val="Calibri"/>
      <family val="2"/>
      <scheme val="minor"/>
    </font>
  </fonts>
  <fills count="47">
    <fill>
      <patternFill patternType="none"/>
    </fill>
    <fill>
      <patternFill patternType="gray125"/>
    </fill>
    <fill>
      <patternFill patternType="solid">
        <fgColor theme="4" tint="0.79998168889431442"/>
        <bgColor indexed="64"/>
      </patternFill>
    </fill>
    <fill>
      <patternFill patternType="solid">
        <fgColor rgb="FFBFBFBF"/>
        <bgColor rgb="FFBFBFBF"/>
      </patternFill>
    </fill>
    <fill>
      <patternFill patternType="solid">
        <fgColor rgb="FFD9D9D9"/>
        <bgColor rgb="FFD9D9D9"/>
      </patternFill>
    </fill>
    <fill>
      <patternFill patternType="solid">
        <fgColor rgb="FFF2DCDB"/>
        <bgColor rgb="FFF2DCDB"/>
      </patternFill>
    </fill>
    <fill>
      <patternFill patternType="solid">
        <fgColor rgb="FFEBF1DE"/>
        <bgColor rgb="FFEBF1DE"/>
      </patternFill>
    </fill>
    <fill>
      <patternFill patternType="solid">
        <fgColor rgb="FFD7E4BD"/>
        <bgColor rgb="FFD7E4BD"/>
      </patternFill>
    </fill>
    <fill>
      <patternFill patternType="solid">
        <fgColor theme="0" tint="-0.14999847407452621"/>
        <bgColor indexed="64"/>
      </patternFill>
    </fill>
    <fill>
      <patternFill patternType="solid">
        <fgColor theme="8"/>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mediumGray"/>
    </fill>
    <fill>
      <patternFill patternType="solid">
        <fgColor theme="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rgb="FFDCE6F2"/>
      </patternFill>
    </fill>
    <fill>
      <patternFill patternType="solid">
        <fgColor rgb="FFFCD5B5"/>
        <bgColor rgb="FFFCD5B5"/>
      </patternFill>
    </fill>
    <fill>
      <patternFill patternType="solid">
        <fgColor rgb="FFFFFFCC"/>
        <bgColor rgb="FFFFFFCC"/>
      </patternFill>
    </fill>
    <fill>
      <patternFill patternType="solid">
        <fgColor rgb="FFFFFF00"/>
        <bgColor rgb="FFFFFF00"/>
      </patternFill>
    </fill>
    <fill>
      <patternFill patternType="solid">
        <fgColor rgb="FFF2F2F2"/>
        <bgColor rgb="FFF2F2F2"/>
      </patternFill>
    </fill>
    <fill>
      <patternFill patternType="solid">
        <fgColor theme="9" tint="0.59999389629810485"/>
        <bgColor indexed="64"/>
      </patternFill>
    </fill>
    <fill>
      <patternFill patternType="solid">
        <fgColor theme="0"/>
        <bgColor indexed="64"/>
      </patternFill>
    </fill>
    <fill>
      <patternFill patternType="solid">
        <fgColor rgb="FFFFFFFF"/>
        <bgColor indexed="64"/>
      </patternFill>
    </fill>
    <fill>
      <patternFill patternType="solid">
        <fgColor rgb="FFDCE6F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FFC000"/>
        <bgColor indexed="64"/>
      </patternFill>
    </fill>
    <fill>
      <patternFill patternType="solid">
        <fgColor rgb="FF92D050"/>
        <bgColor indexed="64"/>
      </patternFill>
    </fill>
    <fill>
      <patternFill patternType="solid">
        <fgColor rgb="FFFF0000"/>
        <bgColor indexed="64"/>
      </patternFill>
    </fill>
    <fill>
      <patternFill patternType="solid">
        <fgColor rgb="FF00B050"/>
        <bgColor indexed="64"/>
      </patternFill>
    </fill>
    <fill>
      <patternFill patternType="solid">
        <fgColor rgb="FF00B0F0"/>
        <bgColor indexed="64"/>
      </patternFill>
    </fill>
    <fill>
      <patternFill patternType="solid">
        <fgColor rgb="FF7030A0"/>
        <bgColor indexed="64"/>
      </patternFill>
    </fill>
    <fill>
      <patternFill patternType="solid">
        <fgColor theme="2"/>
        <bgColor indexed="64"/>
      </patternFill>
    </fill>
    <fill>
      <patternFill patternType="solid">
        <fgColor theme="1"/>
        <bgColor theme="1"/>
      </patternFill>
    </fill>
    <fill>
      <patternFill patternType="solid">
        <fgColor theme="0" tint="-0.34998626667073579"/>
        <bgColor theme="0" tint="-0.34998626667073579"/>
      </patternFill>
    </fill>
    <fill>
      <patternFill patternType="solid">
        <fgColor theme="0" tint="-0.14999847407452621"/>
        <bgColor theme="0" tint="-0.14999847407452621"/>
      </patternFill>
    </fill>
    <fill>
      <patternFill patternType="solid">
        <fgColor theme="6" tint="0.39997558519241921"/>
        <bgColor indexed="64"/>
      </patternFill>
    </fill>
    <fill>
      <patternFill patternType="solid">
        <fgColor theme="2" tint="-9.9978637043366805E-2"/>
        <bgColor rgb="FFDCE6F2"/>
      </patternFill>
    </fill>
    <fill>
      <patternFill patternType="solid">
        <fgColor theme="4" tint="0.59999389629810485"/>
        <bgColor indexed="64"/>
      </patternFill>
    </fill>
    <fill>
      <patternFill patternType="solid">
        <fgColor theme="7" tint="0.59999389629810485"/>
        <bgColor indexed="64"/>
      </patternFill>
    </fill>
    <fill>
      <patternFill patternType="solid">
        <fgColor rgb="FFC00000"/>
        <bgColor indexed="64"/>
      </patternFill>
    </fill>
    <fill>
      <patternFill patternType="solid">
        <fgColor theme="4" tint="0.79998168889431442"/>
        <bgColor theme="4" tint="0.79998168889431442"/>
      </patternFill>
    </fill>
    <fill>
      <patternFill patternType="solid">
        <fgColor theme="5" tint="0.39997558519241921"/>
        <bgColor indexed="64"/>
      </patternFill>
    </fill>
    <fill>
      <patternFill patternType="solid">
        <fgColor theme="0" tint="-0.249977111117893"/>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auto="1"/>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right/>
      <top style="thin">
        <color rgb="FF000000"/>
      </top>
      <bottom style="double">
        <color rgb="FF000000"/>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double">
        <color rgb="FF000000"/>
      </top>
      <bottom/>
      <diagonal/>
    </border>
    <border>
      <left style="thick">
        <color auto="1"/>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right/>
      <top style="hair">
        <color auto="1"/>
      </top>
      <bottom style="thin">
        <color auto="1"/>
      </bottom>
      <diagonal/>
    </border>
    <border>
      <left/>
      <right/>
      <top style="medium">
        <color indexed="64"/>
      </top>
      <bottom/>
      <diagonal/>
    </border>
    <border>
      <left/>
      <right/>
      <top style="thin">
        <color indexed="64"/>
      </top>
      <bottom style="thin">
        <color rgb="FF000000"/>
      </bottom>
      <diagonal/>
    </border>
    <border>
      <left style="thin">
        <color indexed="64"/>
      </left>
      <right/>
      <top style="medium">
        <color indexed="64"/>
      </top>
      <bottom style="medium">
        <color indexed="64"/>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diagonal/>
    </border>
    <border>
      <left style="medium">
        <color rgb="FF000000"/>
      </left>
      <right/>
      <top/>
      <bottom style="medium">
        <color rgb="FF000000"/>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ck">
        <color auto="1"/>
      </right>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hair">
        <color auto="1"/>
      </top>
      <bottom style="thin">
        <color auto="1"/>
      </bottom>
      <diagonal/>
    </border>
    <border>
      <left/>
      <right style="medium">
        <color indexed="64"/>
      </right>
      <top style="hair">
        <color auto="1"/>
      </top>
      <bottom style="thin">
        <color auto="1"/>
      </bottom>
      <diagonal/>
    </border>
    <border>
      <left style="medium">
        <color indexed="64"/>
      </left>
      <right style="thin">
        <color rgb="FF000000"/>
      </right>
      <top/>
      <bottom/>
      <diagonal/>
    </border>
    <border>
      <left style="thin">
        <color indexed="64"/>
      </left>
      <right style="thin">
        <color indexed="64"/>
      </right>
      <top/>
      <bottom/>
      <diagonal/>
    </border>
    <border>
      <left style="medium">
        <color rgb="FF000000"/>
      </left>
      <right style="medium">
        <color rgb="FF000000"/>
      </right>
      <top/>
      <bottom style="medium">
        <color rgb="FF000000"/>
      </bottom>
      <diagonal/>
    </border>
    <border>
      <left/>
      <right/>
      <top/>
      <bottom style="thin">
        <color theme="4" tint="0.39997558519241921"/>
      </bottom>
      <diagonal/>
    </border>
    <border>
      <left style="medium">
        <color indexed="64"/>
      </left>
      <right style="medium">
        <color indexed="64"/>
      </right>
      <top/>
      <bottom/>
      <diagonal/>
    </border>
    <border>
      <left/>
      <right style="medium">
        <color indexed="64"/>
      </right>
      <top style="medium">
        <color indexed="64"/>
      </top>
      <bottom/>
      <diagonal/>
    </border>
  </borders>
  <cellStyleXfs count="10">
    <xf numFmtId="0" fontId="0" fillId="0" borderId="0"/>
    <xf numFmtId="9" fontId="1" fillId="0" borderId="0" applyFont="0" applyFill="0" applyBorder="0" applyAlignment="0" applyProtection="0"/>
    <xf numFmtId="165" fontId="3" fillId="0" borderId="0"/>
    <xf numFmtId="0" fontId="5" fillId="0" borderId="0"/>
    <xf numFmtId="0" fontId="5" fillId="0" borderId="0"/>
    <xf numFmtId="165" fontId="4" fillId="0" borderId="0"/>
    <xf numFmtId="0" fontId="5" fillId="0" borderId="0"/>
    <xf numFmtId="176" fontId="1" fillId="0" borderId="0" applyFont="0" applyFill="0" applyBorder="0" applyAlignment="0" applyProtection="0"/>
    <xf numFmtId="164" fontId="1" fillId="0" borderId="0" applyFont="0" applyFill="0" applyBorder="0" applyAlignment="0" applyProtection="0"/>
    <xf numFmtId="165" fontId="4" fillId="0" borderId="0"/>
  </cellStyleXfs>
  <cellXfs count="562">
    <xf numFmtId="0" fontId="0" fillId="0" borderId="0" xfId="0"/>
    <xf numFmtId="0" fontId="2" fillId="0" borderId="0" xfId="0" applyFont="1"/>
    <xf numFmtId="0" fontId="0" fillId="0" borderId="1" xfId="0" applyBorder="1"/>
    <xf numFmtId="165" fontId="6" fillId="0" borderId="0" xfId="2" applyFont="1" applyAlignment="1">
      <alignment vertical="center"/>
    </xf>
    <xf numFmtId="165" fontId="6" fillId="0" borderId="0" xfId="2" applyFont="1" applyAlignment="1">
      <alignment horizontal="center" vertical="center"/>
    </xf>
    <xf numFmtId="165" fontId="6" fillId="0" borderId="0" xfId="2" applyFont="1"/>
    <xf numFmtId="0" fontId="8" fillId="0" borderId="1" xfId="0" applyFont="1" applyBorder="1" applyAlignment="1">
      <alignment horizontal="right" vertical="center"/>
    </xf>
    <xf numFmtId="1" fontId="0" fillId="0" borderId="1" xfId="0" applyNumberFormat="1" applyBorder="1"/>
    <xf numFmtId="170" fontId="0" fillId="0" borderId="1" xfId="0" applyNumberFormat="1" applyBorder="1"/>
    <xf numFmtId="171" fontId="0" fillId="0" borderId="1" xfId="0" applyNumberFormat="1" applyBorder="1"/>
    <xf numFmtId="165" fontId="8" fillId="0" borderId="0" xfId="2" applyFont="1"/>
    <xf numFmtId="165" fontId="8" fillId="0" borderId="0" xfId="2" applyFont="1" applyAlignment="1">
      <alignment horizontal="center" wrapText="1"/>
    </xf>
    <xf numFmtId="165" fontId="8" fillId="0" borderId="0" xfId="2" applyFont="1" applyAlignment="1">
      <alignment horizontal="center" vertical="center" wrapText="1"/>
    </xf>
    <xf numFmtId="165" fontId="8" fillId="0" borderId="0" xfId="2" applyFont="1" applyAlignment="1">
      <alignment vertical="center" wrapText="1"/>
    </xf>
    <xf numFmtId="165" fontId="6" fillId="0" borderId="0" xfId="2" applyFont="1" applyAlignment="1">
      <alignment horizontal="left" vertical="center" wrapText="1"/>
    </xf>
    <xf numFmtId="165" fontId="17" fillId="0" borderId="0" xfId="2" applyFont="1" applyAlignment="1">
      <alignment horizontal="left" vertical="center" wrapText="1"/>
    </xf>
    <xf numFmtId="167" fontId="6" fillId="0" borderId="0" xfId="3" applyNumberFormat="1" applyFont="1" applyAlignment="1">
      <alignment vertical="center" wrapText="1"/>
    </xf>
    <xf numFmtId="0" fontId="19" fillId="0" borderId="0" xfId="0" applyFont="1"/>
    <xf numFmtId="165" fontId="8" fillId="0" borderId="17" xfId="2" applyFont="1" applyBorder="1" applyAlignment="1">
      <alignment vertical="center"/>
    </xf>
    <xf numFmtId="2" fontId="8" fillId="2" borderId="1" xfId="2" applyNumberFormat="1" applyFont="1" applyFill="1" applyBorder="1" applyAlignment="1" applyProtection="1">
      <alignment horizontal="center" vertical="center" wrapText="1"/>
      <protection locked="0"/>
    </xf>
    <xf numFmtId="170" fontId="0" fillId="0" borderId="0" xfId="0" applyNumberFormat="1"/>
    <xf numFmtId="173" fontId="0" fillId="0" borderId="0" xfId="0" applyNumberFormat="1"/>
    <xf numFmtId="171" fontId="0" fillId="0" borderId="0" xfId="0" applyNumberFormat="1"/>
    <xf numFmtId="0" fontId="0" fillId="0" borderId="27" xfId="0" applyBorder="1"/>
    <xf numFmtId="172" fontId="0" fillId="0" borderId="1" xfId="0" applyNumberFormat="1" applyBorder="1" applyAlignment="1">
      <alignment vertical="center"/>
    </xf>
    <xf numFmtId="172" fontId="0" fillId="14" borderId="1" xfId="0" applyNumberFormat="1" applyFill="1" applyBorder="1" applyAlignment="1">
      <alignment vertical="center"/>
    </xf>
    <xf numFmtId="10" fontId="0" fillId="0" borderId="1" xfId="0" applyNumberFormat="1" applyBorder="1"/>
    <xf numFmtId="0" fontId="0" fillId="0" borderId="0" xfId="0" applyAlignment="1">
      <alignment vertical="center"/>
    </xf>
    <xf numFmtId="10" fontId="0" fillId="2" borderId="38" xfId="1" applyNumberFormat="1" applyFont="1" applyFill="1" applyBorder="1" applyProtection="1">
      <protection locked="0"/>
    </xf>
    <xf numFmtId="2" fontId="6" fillId="0" borderId="0" xfId="3" applyNumberFormat="1" applyFont="1" applyAlignment="1">
      <alignment vertical="center" wrapText="1"/>
    </xf>
    <xf numFmtId="0" fontId="0" fillId="0" borderId="0" xfId="0" applyAlignment="1">
      <alignment wrapText="1"/>
    </xf>
    <xf numFmtId="0" fontId="0" fillId="0" borderId="0" xfId="0" applyAlignment="1">
      <alignment horizontal="left" vertical="center"/>
    </xf>
    <xf numFmtId="0" fontId="2" fillId="0" borderId="0" xfId="0" applyFont="1" applyAlignment="1">
      <alignment horizontal="left" vertical="center"/>
    </xf>
    <xf numFmtId="173" fontId="0" fillId="0" borderId="1" xfId="0" applyNumberFormat="1" applyBorder="1"/>
    <xf numFmtId="0" fontId="0" fillId="0" borderId="0" xfId="0" quotePrefix="1"/>
    <xf numFmtId="165" fontId="28" fillId="0" borderId="5" xfId="2" applyFont="1" applyBorder="1"/>
    <xf numFmtId="165" fontId="3" fillId="0" borderId="5" xfId="2" applyBorder="1"/>
    <xf numFmtId="165" fontId="3" fillId="0" borderId="5" xfId="2" applyBorder="1" applyAlignment="1">
      <alignment horizontal="center"/>
    </xf>
    <xf numFmtId="165" fontId="3" fillId="0" borderId="0" xfId="2"/>
    <xf numFmtId="165" fontId="3" fillId="0" borderId="0" xfId="2" applyAlignment="1">
      <alignment horizontal="center"/>
    </xf>
    <xf numFmtId="165" fontId="3" fillId="19" borderId="0" xfId="2" applyFill="1" applyAlignment="1">
      <alignment horizontal="center"/>
    </xf>
    <xf numFmtId="165" fontId="3" fillId="19" borderId="0" xfId="2" applyFill="1"/>
    <xf numFmtId="165" fontId="29" fillId="19" borderId="0" xfId="2" applyFont="1" applyFill="1" applyAlignment="1">
      <alignment horizontal="center"/>
    </xf>
    <xf numFmtId="174" fontId="29" fillId="20" borderId="3" xfId="2" applyNumberFormat="1" applyFont="1" applyFill="1" applyBorder="1" applyAlignment="1" applyProtection="1">
      <alignment horizontal="center"/>
      <protection locked="0"/>
    </xf>
    <xf numFmtId="175" fontId="3" fillId="0" borderId="3" xfId="2" applyNumberFormat="1" applyBorder="1"/>
    <xf numFmtId="0" fontId="29" fillId="20" borderId="3" xfId="4" applyFont="1" applyFill="1" applyBorder="1" applyProtection="1">
      <protection locked="0"/>
    </xf>
    <xf numFmtId="165" fontId="3" fillId="0" borderId="3" xfId="2" applyBorder="1"/>
    <xf numFmtId="174" fontId="3" fillId="20" borderId="3" xfId="2" applyNumberFormat="1" applyFill="1" applyBorder="1" applyAlignment="1" applyProtection="1">
      <alignment horizontal="center"/>
      <protection locked="0"/>
    </xf>
    <xf numFmtId="165" fontId="29" fillId="19" borderId="0" xfId="2" applyFont="1" applyFill="1" applyAlignment="1">
      <alignment horizontal="right"/>
    </xf>
    <xf numFmtId="168" fontId="29" fillId="19" borderId="0" xfId="2" applyNumberFormat="1" applyFont="1" applyFill="1"/>
    <xf numFmtId="165" fontId="29" fillId="21" borderId="3" xfId="2" applyFont="1" applyFill="1" applyBorder="1"/>
    <xf numFmtId="168" fontId="29" fillId="21" borderId="3" xfId="2" applyNumberFormat="1" applyFont="1" applyFill="1" applyBorder="1"/>
    <xf numFmtId="0" fontId="5" fillId="0" borderId="0" xfId="6"/>
    <xf numFmtId="165" fontId="30" fillId="0" borderId="0" xfId="2" applyFont="1"/>
    <xf numFmtId="165" fontId="31" fillId="0" borderId="5" xfId="2" applyFont="1" applyBorder="1" applyAlignment="1">
      <alignment horizontal="right"/>
    </xf>
    <xf numFmtId="165" fontId="32" fillId="0" borderId="5" xfId="2" applyFont="1" applyBorder="1" applyAlignment="1">
      <alignment horizontal="right"/>
    </xf>
    <xf numFmtId="165" fontId="28" fillId="0" borderId="5" xfId="2" applyFont="1" applyBorder="1" applyAlignment="1">
      <alignment horizontal="center"/>
    </xf>
    <xf numFmtId="165" fontId="29" fillId="21" borderId="3" xfId="2" applyFont="1" applyFill="1" applyBorder="1" applyAlignment="1">
      <alignment horizontal="center" vertical="center"/>
    </xf>
    <xf numFmtId="165" fontId="28" fillId="0" borderId="0" xfId="2" applyFont="1"/>
    <xf numFmtId="165" fontId="29" fillId="22" borderId="2" xfId="2" applyFont="1" applyFill="1" applyBorder="1" applyAlignment="1">
      <alignment horizontal="right"/>
    </xf>
    <xf numFmtId="174" fontId="33" fillId="20" borderId="3" xfId="2" applyNumberFormat="1" applyFont="1" applyFill="1" applyBorder="1" applyAlignment="1" applyProtection="1">
      <alignment horizontal="center"/>
      <protection locked="0"/>
    </xf>
    <xf numFmtId="174" fontId="34" fillId="20" borderId="3" xfId="2" applyNumberFormat="1" applyFont="1" applyFill="1" applyBorder="1" applyAlignment="1" applyProtection="1">
      <alignment horizontal="center"/>
      <protection locked="0"/>
    </xf>
    <xf numFmtId="175" fontId="31" fillId="19" borderId="0" xfId="2" applyNumberFormat="1" applyFont="1" applyFill="1"/>
    <xf numFmtId="9" fontId="29" fillId="20" borderId="3" xfId="4" applyNumberFormat="1" applyFont="1" applyFill="1" applyBorder="1" applyProtection="1">
      <protection locked="0"/>
    </xf>
    <xf numFmtId="165" fontId="3" fillId="0" borderId="0" xfId="2" applyProtection="1">
      <protection locked="0"/>
    </xf>
    <xf numFmtId="4" fontId="0" fillId="0" borderId="0" xfId="0" applyNumberFormat="1"/>
    <xf numFmtId="165" fontId="8" fillId="0" borderId="0" xfId="2" applyFont="1" applyAlignment="1">
      <alignment wrapText="1"/>
    </xf>
    <xf numFmtId="0" fontId="23" fillId="0" borderId="0" xfId="0" applyFont="1"/>
    <xf numFmtId="1" fontId="10" fillId="0" borderId="1" xfId="0" applyNumberFormat="1" applyFont="1" applyBorder="1" applyAlignment="1">
      <alignment horizontal="center" vertical="center"/>
    </xf>
    <xf numFmtId="0" fontId="11" fillId="0" borderId="1" xfId="0" applyFont="1" applyBorder="1" applyAlignment="1">
      <alignment horizontal="center"/>
    </xf>
    <xf numFmtId="0" fontId="12" fillId="10" borderId="1" xfId="0" applyFont="1" applyFill="1" applyBorder="1" applyAlignment="1">
      <alignment vertical="center"/>
    </xf>
    <xf numFmtId="2" fontId="10" fillId="10" borderId="1" xfId="5" applyNumberFormat="1" applyFont="1" applyFill="1" applyBorder="1" applyAlignment="1">
      <alignment vertical="center"/>
    </xf>
    <xf numFmtId="0" fontId="11" fillId="0" borderId="1" xfId="0" applyFont="1" applyBorder="1" applyAlignment="1">
      <alignment vertical="center"/>
    </xf>
    <xf numFmtId="2" fontId="11" fillId="0" borderId="1" xfId="5" applyNumberFormat="1" applyFont="1" applyBorder="1" applyAlignment="1">
      <alignment vertical="center"/>
    </xf>
    <xf numFmtId="0" fontId="0" fillId="0" borderId="1" xfId="0" applyBorder="1" applyAlignment="1">
      <alignment vertical="center"/>
    </xf>
    <xf numFmtId="0" fontId="11" fillId="0" borderId="1" xfId="0" applyFont="1" applyBorder="1" applyAlignment="1">
      <alignment vertical="center" wrapText="1"/>
    </xf>
    <xf numFmtId="0" fontId="12" fillId="10" borderId="1" xfId="0" applyFont="1" applyFill="1" applyBorder="1" applyAlignment="1">
      <alignment horizontal="left" vertical="center"/>
    </xf>
    <xf numFmtId="172" fontId="0" fillId="23" borderId="1" xfId="0" applyNumberFormat="1" applyFill="1" applyBorder="1" applyAlignment="1">
      <alignment vertical="center"/>
    </xf>
    <xf numFmtId="173" fontId="8" fillId="0" borderId="0" xfId="2" applyNumberFormat="1" applyFont="1" applyAlignment="1">
      <alignment horizontal="left"/>
    </xf>
    <xf numFmtId="1" fontId="10" fillId="10" borderId="1" xfId="5" applyNumberFormat="1" applyFont="1" applyFill="1" applyBorder="1" applyAlignment="1">
      <alignment vertical="center"/>
    </xf>
    <xf numFmtId="173" fontId="2" fillId="13" borderId="46" xfId="0" applyNumberFormat="1" applyFont="1" applyFill="1" applyBorder="1" applyAlignment="1">
      <alignment horizontal="center" vertical="center"/>
    </xf>
    <xf numFmtId="0" fontId="18" fillId="0" borderId="0" xfId="0" applyFont="1" applyAlignment="1">
      <alignment horizontal="right" vertical="center"/>
    </xf>
    <xf numFmtId="10" fontId="18" fillId="0" borderId="0" xfId="0" applyNumberFormat="1" applyFont="1" applyAlignment="1">
      <alignment horizontal="center" vertical="center"/>
    </xf>
    <xf numFmtId="2" fontId="0" fillId="0" borderId="0" xfId="0" applyNumberFormat="1" applyAlignment="1">
      <alignment horizontal="center"/>
    </xf>
    <xf numFmtId="0" fontId="2" fillId="0" borderId="0" xfId="0" applyFont="1" applyAlignment="1">
      <alignment horizontal="center"/>
    </xf>
    <xf numFmtId="0" fontId="0" fillId="0" borderId="1" xfId="0" applyBorder="1" applyAlignment="1">
      <alignment horizontal="left"/>
    </xf>
    <xf numFmtId="165" fontId="26" fillId="0" borderId="0" xfId="2" applyFont="1" applyAlignment="1">
      <alignment horizontal="left" vertical="center" wrapText="1"/>
    </xf>
    <xf numFmtId="165" fontId="25" fillId="0" borderId="0" xfId="2" applyFont="1" applyAlignment="1">
      <alignment horizontal="center" vertical="center" wrapText="1"/>
    </xf>
    <xf numFmtId="2" fontId="25" fillId="0" borderId="0" xfId="3" applyNumberFormat="1" applyFont="1" applyAlignment="1" applyProtection="1">
      <alignment vertical="center" wrapText="1"/>
      <protection locked="0"/>
    </xf>
    <xf numFmtId="2" fontId="22" fillId="0" borderId="0" xfId="0" applyNumberFormat="1" applyFont="1" applyAlignment="1">
      <alignment vertical="center"/>
    </xf>
    <xf numFmtId="173" fontId="25" fillId="0" borderId="0" xfId="3" applyNumberFormat="1" applyFont="1" applyAlignment="1" applyProtection="1">
      <alignment vertical="center" wrapText="1"/>
      <protection locked="0"/>
    </xf>
    <xf numFmtId="2" fontId="22" fillId="0" borderId="0" xfId="0" applyNumberFormat="1" applyFont="1" applyAlignment="1" applyProtection="1">
      <alignment vertical="center"/>
      <protection locked="0"/>
    </xf>
    <xf numFmtId="0" fontId="35" fillId="0" borderId="0" xfId="0" applyFont="1"/>
    <xf numFmtId="173" fontId="15" fillId="0" borderId="0" xfId="2" applyNumberFormat="1" applyFont="1" applyAlignment="1">
      <alignment horizontal="left"/>
    </xf>
    <xf numFmtId="0" fontId="11" fillId="0" borderId="1" xfId="0" applyFont="1" applyBorder="1"/>
    <xf numFmtId="0" fontId="13" fillId="0" borderId="0" xfId="0" applyFont="1"/>
    <xf numFmtId="0" fontId="0" fillId="0" borderId="0" xfId="0" applyAlignment="1">
      <alignment horizontal="center"/>
    </xf>
    <xf numFmtId="0" fontId="0" fillId="13" borderId="0" xfId="0" applyFill="1"/>
    <xf numFmtId="0" fontId="0" fillId="31" borderId="0" xfId="0" applyFill="1"/>
    <xf numFmtId="0" fontId="0" fillId="29" borderId="0" xfId="0" applyFill="1"/>
    <xf numFmtId="0" fontId="0" fillId="32" borderId="0" xfId="0" applyFill="1"/>
    <xf numFmtId="0" fontId="0" fillId="33" borderId="0" xfId="0" applyFill="1"/>
    <xf numFmtId="0" fontId="0" fillId="34" borderId="0" xfId="0" applyFill="1"/>
    <xf numFmtId="164" fontId="0" fillId="0" borderId="0" xfId="0" applyNumberFormat="1"/>
    <xf numFmtId="4" fontId="0" fillId="0" borderId="1" xfId="0" applyNumberFormat="1" applyBorder="1"/>
    <xf numFmtId="0" fontId="2" fillId="35" borderId="1" xfId="0" applyFont="1" applyFill="1" applyBorder="1"/>
    <xf numFmtId="164" fontId="0" fillId="0" borderId="1" xfId="8" applyFont="1" applyBorder="1"/>
    <xf numFmtId="0" fontId="2" fillId="24" borderId="0" xfId="0" applyFont="1" applyFill="1" applyAlignment="1">
      <alignment horizontal="left" wrapText="1"/>
    </xf>
    <xf numFmtId="0" fontId="2" fillId="23" borderId="1" xfId="0" applyFont="1" applyFill="1" applyBorder="1" applyAlignment="1">
      <alignment horizontal="center" wrapText="1"/>
    </xf>
    <xf numFmtId="164" fontId="2" fillId="35" borderId="1" xfId="8" applyFont="1" applyFill="1" applyBorder="1"/>
    <xf numFmtId="4" fontId="2" fillId="35" borderId="1" xfId="0" applyNumberFormat="1" applyFont="1" applyFill="1" applyBorder="1"/>
    <xf numFmtId="0" fontId="2" fillId="35" borderId="1" xfId="0" applyFont="1" applyFill="1" applyBorder="1" applyAlignment="1">
      <alignment horizontal="center"/>
    </xf>
    <xf numFmtId="0" fontId="2" fillId="0" borderId="1" xfId="0" applyFont="1" applyBorder="1"/>
    <xf numFmtId="0" fontId="2" fillId="35" borderId="1" xfId="0" applyFont="1" applyFill="1" applyBorder="1" applyAlignment="1">
      <alignment horizontal="left" wrapText="1"/>
    </xf>
    <xf numFmtId="0" fontId="2" fillId="0" borderId="0" xfId="0" applyFont="1" applyAlignment="1">
      <alignment wrapText="1"/>
    </xf>
    <xf numFmtId="0" fontId="2" fillId="23" borderId="16" xfId="0" applyFont="1" applyFill="1" applyBorder="1" applyAlignment="1">
      <alignment horizontal="left" wrapText="1"/>
    </xf>
    <xf numFmtId="0" fontId="2" fillId="23" borderId="15" xfId="0" applyFont="1" applyFill="1" applyBorder="1" applyAlignment="1">
      <alignment horizontal="left" wrapText="1"/>
    </xf>
    <xf numFmtId="0" fontId="2" fillId="23" borderId="10" xfId="0" applyFont="1" applyFill="1" applyBorder="1" applyAlignment="1">
      <alignment horizontal="left" wrapText="1"/>
    </xf>
    <xf numFmtId="0" fontId="2" fillId="35" borderId="1" xfId="0" applyFont="1" applyFill="1" applyBorder="1" applyAlignment="1">
      <alignment horizontal="left"/>
    </xf>
    <xf numFmtId="0" fontId="2" fillId="35" borderId="1" xfId="0" applyFont="1" applyFill="1" applyBorder="1" applyAlignment="1">
      <alignment wrapText="1"/>
    </xf>
    <xf numFmtId="0" fontId="0" fillId="0" borderId="16" xfId="0" applyBorder="1" applyAlignment="1">
      <alignment horizontal="center"/>
    </xf>
    <xf numFmtId="0" fontId="0" fillId="0" borderId="15" xfId="0" applyBorder="1" applyAlignment="1">
      <alignment horizontal="center"/>
    </xf>
    <xf numFmtId="0" fontId="0" fillId="0" borderId="10" xfId="0" applyBorder="1" applyAlignment="1">
      <alignment horizontal="center"/>
    </xf>
    <xf numFmtId="0" fontId="2" fillId="16" borderId="1" xfId="0" applyFont="1" applyFill="1" applyBorder="1"/>
    <xf numFmtId="0" fontId="37" fillId="0" borderId="0" xfId="0" applyFont="1"/>
    <xf numFmtId="177" fontId="7" fillId="29" borderId="1" xfId="0" applyNumberFormat="1" applyFont="1" applyFill="1" applyBorder="1"/>
    <xf numFmtId="4" fontId="7" fillId="29" borderId="1" xfId="0" applyNumberFormat="1" applyFont="1" applyFill="1" applyBorder="1"/>
    <xf numFmtId="177" fontId="2" fillId="30" borderId="1" xfId="0" applyNumberFormat="1" applyFont="1" applyFill="1" applyBorder="1"/>
    <xf numFmtId="4" fontId="2" fillId="30" borderId="1" xfId="0" applyNumberFormat="1" applyFont="1" applyFill="1" applyBorder="1" applyAlignment="1">
      <alignment wrapText="1"/>
    </xf>
    <xf numFmtId="4" fontId="0" fillId="0" borderId="1" xfId="0" applyNumberFormat="1" applyBorder="1" applyAlignment="1">
      <alignment wrapText="1"/>
    </xf>
    <xf numFmtId="4" fontId="2" fillId="0" borderId="0" xfId="0" applyNumberFormat="1" applyFont="1"/>
    <xf numFmtId="177" fontId="0" fillId="0" borderId="1" xfId="0" applyNumberFormat="1" applyBorder="1"/>
    <xf numFmtId="0" fontId="22" fillId="0" borderId="0" xfId="0" applyFont="1"/>
    <xf numFmtId="4" fontId="0" fillId="0" borderId="0" xfId="0" applyNumberFormat="1" applyProtection="1">
      <protection locked="0"/>
    </xf>
    <xf numFmtId="177" fontId="2" fillId="31" borderId="1" xfId="0" applyNumberFormat="1" applyFont="1" applyFill="1" applyBorder="1"/>
    <xf numFmtId="4" fontId="2" fillId="31" borderId="1" xfId="0" applyNumberFormat="1" applyFont="1" applyFill="1" applyBorder="1"/>
    <xf numFmtId="3" fontId="0" fillId="0" borderId="0" xfId="0" applyNumberFormat="1"/>
    <xf numFmtId="4" fontId="7" fillId="0" borderId="0" xfId="0" applyNumberFormat="1" applyFont="1"/>
    <xf numFmtId="0" fontId="1" fillId="0" borderId="0" xfId="0" applyFont="1"/>
    <xf numFmtId="0" fontId="0" fillId="37" borderId="0" xfId="0" applyFill="1"/>
    <xf numFmtId="0" fontId="0" fillId="38" borderId="0" xfId="0" applyFill="1"/>
    <xf numFmtId="0" fontId="38" fillId="0" borderId="0" xfId="0" applyFont="1"/>
    <xf numFmtId="0" fontId="39" fillId="0" borderId="0" xfId="0" applyFont="1" applyProtection="1">
      <protection locked="0"/>
    </xf>
    <xf numFmtId="0" fontId="0" fillId="0" borderId="0" xfId="0" applyProtection="1">
      <protection locked="0"/>
    </xf>
    <xf numFmtId="0" fontId="2" fillId="0" borderId="52" xfId="0" applyFont="1" applyBorder="1" applyProtection="1">
      <protection locked="0"/>
    </xf>
    <xf numFmtId="0" fontId="23" fillId="13" borderId="52" xfId="0" applyFont="1" applyFill="1" applyBorder="1" applyProtection="1">
      <protection locked="0"/>
    </xf>
    <xf numFmtId="0" fontId="0" fillId="0" borderId="0" xfId="0" applyAlignment="1" applyProtection="1">
      <alignment horizontal="left"/>
      <protection locked="0"/>
    </xf>
    <xf numFmtId="10" fontId="0" fillId="0" borderId="0" xfId="1" applyNumberFormat="1" applyFont="1" applyProtection="1">
      <protection locked="0"/>
    </xf>
    <xf numFmtId="10" fontId="0" fillId="0" borderId="0" xfId="0" applyNumberFormat="1" applyProtection="1">
      <protection locked="0"/>
    </xf>
    <xf numFmtId="0" fontId="2" fillId="28" borderId="52" xfId="0" applyFont="1" applyFill="1" applyBorder="1"/>
    <xf numFmtId="49" fontId="0" fillId="0" borderId="0" xfId="0" applyNumberFormat="1" applyProtection="1">
      <protection locked="0"/>
    </xf>
    <xf numFmtId="49" fontId="0" fillId="0" borderId="0" xfId="0" applyNumberFormat="1" applyAlignment="1" applyProtection="1">
      <alignment vertical="top"/>
      <protection locked="0"/>
    </xf>
    <xf numFmtId="49" fontId="0" fillId="0" borderId="0" xfId="0" applyNumberFormat="1" applyAlignment="1" applyProtection="1">
      <alignment horizontal="left" vertical="top"/>
      <protection locked="0"/>
    </xf>
    <xf numFmtId="0" fontId="20" fillId="0" borderId="0" xfId="0" applyFont="1"/>
    <xf numFmtId="0" fontId="0" fillId="13" borderId="1" xfId="0" applyFill="1" applyBorder="1" applyAlignment="1" applyProtection="1">
      <alignment vertical="center"/>
      <protection locked="0"/>
    </xf>
    <xf numFmtId="0" fontId="0" fillId="0" borderId="0" xfId="0" applyAlignment="1">
      <alignment horizontal="left"/>
    </xf>
    <xf numFmtId="0" fontId="0" fillId="0" borderId="18" xfId="0" applyBorder="1" applyAlignment="1">
      <alignment horizontal="left"/>
    </xf>
    <xf numFmtId="0" fontId="0" fillId="2" borderId="20" xfId="0" applyFill="1" applyBorder="1" applyProtection="1">
      <protection locked="0"/>
    </xf>
    <xf numFmtId="0" fontId="0" fillId="0" borderId="33" xfId="0" applyBorder="1"/>
    <xf numFmtId="0" fontId="0" fillId="2" borderId="34" xfId="0" applyFill="1" applyBorder="1" applyProtection="1">
      <protection locked="0"/>
    </xf>
    <xf numFmtId="0" fontId="0" fillId="0" borderId="33" xfId="0" applyBorder="1" applyAlignment="1">
      <alignment horizontal="left"/>
    </xf>
    <xf numFmtId="0" fontId="0" fillId="0" borderId="59" xfId="0" applyBorder="1" applyAlignment="1">
      <alignment horizontal="left"/>
    </xf>
    <xf numFmtId="0" fontId="0" fillId="2" borderId="22" xfId="0" applyFill="1" applyBorder="1" applyAlignment="1" applyProtection="1">
      <alignment horizontal="left"/>
      <protection locked="0"/>
    </xf>
    <xf numFmtId="0" fontId="0" fillId="0" borderId="0" xfId="0" applyAlignment="1" applyProtection="1">
      <alignment horizontal="right"/>
      <protection locked="0"/>
    </xf>
    <xf numFmtId="0" fontId="0" fillId="0" borderId="39" xfId="0" applyBorder="1" applyAlignment="1">
      <alignment horizontal="left"/>
    </xf>
    <xf numFmtId="0" fontId="36" fillId="0" borderId="0" xfId="6" applyFont="1" applyAlignment="1">
      <alignment horizontal="left" vertical="top"/>
    </xf>
    <xf numFmtId="0" fontId="25" fillId="0" borderId="0" xfId="6" applyFont="1" applyAlignment="1">
      <alignment horizontal="left" wrapText="1"/>
    </xf>
    <xf numFmtId="0" fontId="27" fillId="0" borderId="0" xfId="6" applyFont="1" applyAlignment="1">
      <alignment horizontal="left" vertical="top" wrapText="1"/>
    </xf>
    <xf numFmtId="165" fontId="6" fillId="0" borderId="0" xfId="2" applyFont="1" applyAlignment="1">
      <alignment vertical="center" wrapText="1"/>
    </xf>
    <xf numFmtId="0" fontId="25" fillId="0" borderId="0" xfId="6" applyFont="1" applyAlignment="1">
      <alignment horizontal="left" vertical="center" wrapText="1"/>
    </xf>
    <xf numFmtId="165" fontId="6" fillId="0" borderId="0" xfId="2" applyFont="1" applyAlignment="1">
      <alignment horizontal="center"/>
    </xf>
    <xf numFmtId="0" fontId="25" fillId="25" borderId="0" xfId="6" applyFont="1" applyFill="1" applyAlignment="1">
      <alignment horizontal="right" wrapText="1"/>
    </xf>
    <xf numFmtId="0" fontId="14" fillId="0" borderId="0" xfId="6" applyFont="1" applyAlignment="1">
      <alignment horizontal="center" vertical="center" wrapText="1"/>
    </xf>
    <xf numFmtId="0" fontId="1" fillId="0" borderId="0" xfId="6" applyFont="1"/>
    <xf numFmtId="0" fontId="8" fillId="0" borderId="49" xfId="6" applyFont="1" applyBorder="1" applyAlignment="1">
      <alignment horizontal="center" vertical="center" wrapText="1"/>
    </xf>
    <xf numFmtId="0" fontId="16" fillId="0" borderId="48" xfId="6" applyFont="1" applyBorder="1" applyAlignment="1">
      <alignment horizontal="left" vertical="center" wrapText="1"/>
    </xf>
    <xf numFmtId="0" fontId="8" fillId="24" borderId="48" xfId="6" applyFont="1" applyFill="1" applyBorder="1" applyAlignment="1">
      <alignment horizontal="left" vertical="center" wrapText="1"/>
    </xf>
    <xf numFmtId="165" fontId="8" fillId="4" borderId="33" xfId="2" applyFont="1" applyFill="1" applyBorder="1" applyAlignment="1">
      <alignment vertical="center" wrapText="1"/>
    </xf>
    <xf numFmtId="165" fontId="8" fillId="0" borderId="33" xfId="2" applyFont="1" applyBorder="1" applyAlignment="1">
      <alignment vertical="center" wrapText="1"/>
    </xf>
    <xf numFmtId="165" fontId="8" fillId="5" borderId="33" xfId="2" applyFont="1" applyFill="1" applyBorder="1" applyAlignment="1">
      <alignment vertical="center" wrapText="1"/>
    </xf>
    <xf numFmtId="165" fontId="8" fillId="6" borderId="33" xfId="2" applyFont="1" applyFill="1" applyBorder="1" applyAlignment="1">
      <alignment vertical="center" wrapText="1"/>
    </xf>
    <xf numFmtId="165" fontId="8" fillId="6" borderId="59" xfId="2" applyFont="1" applyFill="1" applyBorder="1" applyAlignment="1">
      <alignment vertical="center" wrapText="1"/>
    </xf>
    <xf numFmtId="0" fontId="1" fillId="0" borderId="0" xfId="0" applyFont="1" applyAlignment="1">
      <alignment vertical="top"/>
    </xf>
    <xf numFmtId="0" fontId="11" fillId="0" borderId="0" xfId="0" applyFont="1" applyAlignment="1">
      <alignment vertical="top"/>
    </xf>
    <xf numFmtId="165" fontId="8" fillId="0" borderId="1" xfId="2" applyFont="1" applyBorder="1" applyAlignment="1">
      <alignment vertical="center" wrapText="1"/>
    </xf>
    <xf numFmtId="165" fontId="8" fillId="0" borderId="1" xfId="2" applyFont="1" applyBorder="1" applyAlignment="1">
      <alignment horizontal="center" vertical="center" wrapText="1"/>
    </xf>
    <xf numFmtId="2" fontId="8" fillId="18" borderId="1" xfId="3" applyNumberFormat="1" applyFont="1" applyFill="1" applyBorder="1" applyAlignment="1" applyProtection="1">
      <alignment vertical="center" wrapText="1"/>
      <protection locked="0"/>
    </xf>
    <xf numFmtId="173" fontId="8" fillId="18" borderId="1" xfId="3" applyNumberFormat="1" applyFont="1" applyFill="1" applyBorder="1" applyAlignment="1" applyProtection="1">
      <alignment vertical="center" wrapText="1"/>
      <protection locked="0"/>
    </xf>
    <xf numFmtId="2" fontId="1" fillId="17" borderId="1" xfId="0" applyNumberFormat="1" applyFont="1" applyFill="1" applyBorder="1" applyAlignment="1" applyProtection="1">
      <alignment vertical="center"/>
      <protection locked="0"/>
    </xf>
    <xf numFmtId="173" fontId="8" fillId="17" borderId="1" xfId="3" applyNumberFormat="1" applyFont="1" applyFill="1" applyBorder="1" applyAlignment="1" applyProtection="1">
      <alignment vertical="center" wrapText="1"/>
      <protection locked="0"/>
    </xf>
    <xf numFmtId="165" fontId="8" fillId="0" borderId="21" xfId="2" applyFont="1" applyBorder="1" applyAlignment="1">
      <alignment vertical="center" wrapText="1"/>
    </xf>
    <xf numFmtId="165" fontId="8" fillId="0" borderId="21" xfId="2" applyFont="1" applyBorder="1" applyAlignment="1">
      <alignment horizontal="center" vertical="center" wrapText="1"/>
    </xf>
    <xf numFmtId="2" fontId="8" fillId="18" borderId="21" xfId="3" applyNumberFormat="1" applyFont="1" applyFill="1" applyBorder="1" applyAlignment="1" applyProtection="1">
      <alignment vertical="center" wrapText="1"/>
      <protection locked="0"/>
    </xf>
    <xf numFmtId="173" fontId="8" fillId="18" borderId="21" xfId="3" applyNumberFormat="1" applyFont="1" applyFill="1" applyBorder="1" applyAlignment="1" applyProtection="1">
      <alignment vertical="center" wrapText="1"/>
      <protection locked="0"/>
    </xf>
    <xf numFmtId="2" fontId="1" fillId="17" borderId="21" xfId="0" applyNumberFormat="1" applyFont="1" applyFill="1" applyBorder="1" applyAlignment="1" applyProtection="1">
      <alignment vertical="center"/>
      <protection locked="0"/>
    </xf>
    <xf numFmtId="173" fontId="8" fillId="17" borderId="21" xfId="3" applyNumberFormat="1" applyFont="1" applyFill="1" applyBorder="1" applyAlignment="1" applyProtection="1">
      <alignment vertical="center" wrapText="1"/>
      <protection locked="0"/>
    </xf>
    <xf numFmtId="165" fontId="8" fillId="4" borderId="60" xfId="2" applyFont="1" applyFill="1" applyBorder="1" applyAlignment="1">
      <alignment vertical="center" wrapText="1"/>
    </xf>
    <xf numFmtId="165" fontId="8" fillId="0" borderId="29" xfId="2" applyFont="1" applyBorder="1" applyAlignment="1">
      <alignment vertical="center" wrapText="1"/>
    </xf>
    <xf numFmtId="165" fontId="8" fillId="0" borderId="29" xfId="2" applyFont="1" applyBorder="1" applyAlignment="1">
      <alignment horizontal="center" vertical="center" wrapText="1"/>
    </xf>
    <xf numFmtId="2" fontId="8" fillId="18" borderId="29" xfId="3" applyNumberFormat="1" applyFont="1" applyFill="1" applyBorder="1" applyAlignment="1" applyProtection="1">
      <alignment vertical="center" wrapText="1"/>
      <protection locked="0"/>
    </xf>
    <xf numFmtId="173" fontId="8" fillId="18" borderId="29" xfId="3" applyNumberFormat="1" applyFont="1" applyFill="1" applyBorder="1" applyAlignment="1" applyProtection="1">
      <alignment vertical="center" wrapText="1"/>
      <protection locked="0"/>
    </xf>
    <xf numFmtId="2" fontId="1" fillId="17" borderId="29" xfId="0" applyNumberFormat="1" applyFont="1" applyFill="1" applyBorder="1" applyAlignment="1" applyProtection="1">
      <alignment vertical="center"/>
      <protection locked="0"/>
    </xf>
    <xf numFmtId="173" fontId="8" fillId="17" borderId="29" xfId="3" applyNumberFormat="1" applyFont="1" applyFill="1" applyBorder="1" applyAlignment="1" applyProtection="1">
      <alignment vertical="center" wrapText="1"/>
      <protection locked="0"/>
    </xf>
    <xf numFmtId="165" fontId="15" fillId="0" borderId="39" xfId="2" applyFont="1" applyBorder="1" applyAlignment="1">
      <alignment vertical="top"/>
    </xf>
    <xf numFmtId="165" fontId="15" fillId="0" borderId="62" xfId="2" applyFont="1" applyBorder="1" applyAlignment="1">
      <alignment vertical="top"/>
    </xf>
    <xf numFmtId="165" fontId="15" fillId="0" borderId="63" xfId="2" applyFont="1" applyBorder="1" applyAlignment="1">
      <alignment vertical="top"/>
    </xf>
    <xf numFmtId="165" fontId="15" fillId="0" borderId="64" xfId="2" applyFont="1" applyBorder="1" applyAlignment="1">
      <alignment vertical="top" wrapText="1"/>
    </xf>
    <xf numFmtId="165" fontId="15" fillId="0" borderId="65" xfId="2" applyFont="1" applyBorder="1" applyAlignment="1">
      <alignment vertical="top" wrapText="1"/>
    </xf>
    <xf numFmtId="3" fontId="0" fillId="13" borderId="1" xfId="0" applyNumberFormat="1" applyFill="1" applyBorder="1"/>
    <xf numFmtId="4" fontId="1" fillId="0" borderId="1" xfId="1" applyNumberFormat="1" applyFont="1" applyFill="1" applyBorder="1" applyAlignment="1" applyProtection="1">
      <alignment horizontal="right"/>
    </xf>
    <xf numFmtId="0" fontId="2" fillId="0" borderId="32" xfId="0" applyFont="1" applyBorder="1" applyAlignment="1">
      <alignment vertical="top" wrapText="1"/>
    </xf>
    <xf numFmtId="0" fontId="2" fillId="0" borderId="37" xfId="0" applyFont="1" applyBorder="1" applyAlignment="1">
      <alignment vertical="top" wrapText="1"/>
    </xf>
    <xf numFmtId="0" fontId="1" fillId="0" borderId="18" xfId="0" applyFont="1" applyBorder="1" applyAlignment="1">
      <alignment horizontal="left"/>
    </xf>
    <xf numFmtId="4" fontId="1" fillId="0" borderId="19" xfId="1" applyNumberFormat="1" applyFont="1" applyFill="1" applyBorder="1" applyAlignment="1" applyProtection="1">
      <alignment horizontal="right"/>
    </xf>
    <xf numFmtId="0" fontId="1" fillId="0" borderId="33" xfId="0" applyFont="1" applyBorder="1" applyAlignment="1">
      <alignment horizontal="left"/>
    </xf>
    <xf numFmtId="0" fontId="2" fillId="0" borderId="59" xfId="0" applyFont="1" applyBorder="1" applyAlignment="1">
      <alignment horizontal="left"/>
    </xf>
    <xf numFmtId="4" fontId="2" fillId="0" borderId="21" xfId="0" applyNumberFormat="1" applyFont="1" applyBorder="1" applyAlignment="1">
      <alignment horizontal="right" wrapText="1"/>
    </xf>
    <xf numFmtId="2" fontId="1" fillId="17" borderId="18" xfId="0" applyNumberFormat="1" applyFont="1" applyFill="1" applyBorder="1" applyAlignment="1" applyProtection="1">
      <alignment vertical="center"/>
      <protection locked="0"/>
    </xf>
    <xf numFmtId="2" fontId="1" fillId="17" borderId="33" xfId="0" applyNumberFormat="1" applyFont="1" applyFill="1" applyBorder="1" applyAlignment="1" applyProtection="1">
      <alignment vertical="center"/>
      <protection locked="0"/>
    </xf>
    <xf numFmtId="2" fontId="1" fillId="17" borderId="59" xfId="0" applyNumberFormat="1" applyFont="1" applyFill="1" applyBorder="1" applyAlignment="1" applyProtection="1">
      <alignment vertical="center"/>
      <protection locked="0"/>
    </xf>
    <xf numFmtId="10" fontId="23" fillId="13" borderId="52" xfId="1" applyNumberFormat="1" applyFont="1" applyFill="1" applyBorder="1" applyAlignment="1" applyProtection="1">
      <alignment horizontal="center" vertical="center"/>
    </xf>
    <xf numFmtId="0" fontId="1" fillId="0" borderId="0" xfId="0" applyFont="1" applyAlignment="1">
      <alignment wrapText="1"/>
    </xf>
    <xf numFmtId="0" fontId="1" fillId="0" borderId="0" xfId="0" applyFont="1" applyAlignment="1">
      <alignment horizontal="left" vertical="center" indent="1"/>
    </xf>
    <xf numFmtId="0" fontId="2"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0" fontId="18" fillId="36" borderId="0" xfId="0" applyFont="1" applyFill="1" applyAlignment="1">
      <alignment horizontal="left" vertical="top"/>
    </xf>
    <xf numFmtId="49" fontId="2" fillId="13" borderId="0" xfId="0" applyNumberFormat="1" applyFont="1" applyFill="1" applyAlignment="1" applyProtection="1">
      <alignment horizontal="left" vertical="top"/>
      <protection locked="0"/>
    </xf>
    <xf numFmtId="0" fontId="2" fillId="0" borderId="1" xfId="0" applyFont="1" applyBorder="1" applyAlignment="1">
      <alignment horizontal="left" vertical="top"/>
    </xf>
    <xf numFmtId="0" fontId="2" fillId="0" borderId="38" xfId="0" applyFont="1" applyBorder="1" applyAlignment="1">
      <alignment vertical="top" wrapText="1"/>
    </xf>
    <xf numFmtId="4" fontId="1" fillId="0" borderId="20" xfId="1" applyNumberFormat="1" applyFont="1" applyFill="1" applyBorder="1" applyAlignment="1" applyProtection="1">
      <alignment horizontal="right"/>
    </xf>
    <xf numFmtId="4" fontId="1" fillId="0" borderId="34" xfId="1" applyNumberFormat="1" applyFont="1" applyFill="1" applyBorder="1" applyAlignment="1" applyProtection="1">
      <alignment horizontal="right"/>
    </xf>
    <xf numFmtId="4" fontId="2" fillId="0" borderId="22" xfId="0" applyNumberFormat="1" applyFont="1" applyBorder="1" applyAlignment="1">
      <alignment horizontal="right" wrapText="1"/>
    </xf>
    <xf numFmtId="0" fontId="1" fillId="0" borderId="33" xfId="0" applyFont="1" applyBorder="1" applyAlignment="1">
      <alignment horizontal="left" vertical="top"/>
    </xf>
    <xf numFmtId="0" fontId="15" fillId="0" borderId="39" xfId="0" applyFont="1" applyBorder="1" applyAlignment="1">
      <alignment horizontal="left" vertical="top" wrapText="1"/>
    </xf>
    <xf numFmtId="0" fontId="8" fillId="0" borderId="20" xfId="0" applyFont="1" applyBorder="1" applyAlignment="1">
      <alignment horizontal="left" vertical="top" wrapText="1"/>
    </xf>
    <xf numFmtId="0" fontId="8" fillId="0" borderId="34" xfId="0" applyFont="1" applyBorder="1" applyAlignment="1">
      <alignment horizontal="left" vertical="top" wrapText="1"/>
    </xf>
    <xf numFmtId="0" fontId="8" fillId="0" borderId="68" xfId="0" applyFont="1" applyBorder="1" applyAlignment="1">
      <alignment horizontal="left" vertical="top" wrapText="1"/>
    </xf>
    <xf numFmtId="0" fontId="8" fillId="0" borderId="35" xfId="0" applyFont="1" applyBorder="1" applyAlignment="1">
      <alignment horizontal="left" vertical="top" wrapText="1"/>
    </xf>
    <xf numFmtId="0" fontId="8" fillId="0" borderId="36" xfId="0" applyFont="1" applyBorder="1" applyAlignment="1">
      <alignment horizontal="left" vertical="top" wrapText="1"/>
    </xf>
    <xf numFmtId="0" fontId="15" fillId="0" borderId="52" xfId="0" applyFont="1" applyBorder="1" applyAlignment="1">
      <alignment horizontal="left" vertical="top" wrapText="1"/>
    </xf>
    <xf numFmtId="0" fontId="2" fillId="0" borderId="18" xfId="0" applyFont="1" applyBorder="1" applyAlignment="1">
      <alignment vertical="top" wrapText="1"/>
    </xf>
    <xf numFmtId="0" fontId="2" fillId="0" borderId="19" xfId="0" applyFont="1" applyBorder="1" applyAlignment="1">
      <alignment vertical="top" wrapText="1"/>
    </xf>
    <xf numFmtId="0" fontId="1" fillId="0" borderId="1" xfId="0" applyFont="1" applyBorder="1" applyAlignment="1">
      <alignment horizontal="left" vertical="top"/>
    </xf>
    <xf numFmtId="0" fontId="8" fillId="0" borderId="61" xfId="0" applyFont="1" applyBorder="1" applyAlignment="1">
      <alignment horizontal="left" vertical="top" wrapText="1"/>
    </xf>
    <xf numFmtId="0" fontId="6" fillId="0" borderId="0" xfId="2" applyNumberFormat="1" applyFont="1" applyAlignment="1">
      <alignment horizontal="center" vertical="center" wrapText="1"/>
    </xf>
    <xf numFmtId="0" fontId="6" fillId="0" borderId="0" xfId="3" applyFont="1" applyAlignment="1">
      <alignment vertical="center" wrapText="1"/>
    </xf>
    <xf numFmtId="0" fontId="8" fillId="0" borderId="66" xfId="0" applyFont="1" applyBorder="1" applyAlignment="1">
      <alignment horizontal="left" vertical="top" wrapText="1"/>
    </xf>
    <xf numFmtId="0" fontId="2" fillId="0" borderId="20" xfId="0" applyFont="1" applyBorder="1" applyAlignment="1">
      <alignment vertical="top" wrapText="1"/>
    </xf>
    <xf numFmtId="0" fontId="1" fillId="0" borderId="1" xfId="0" applyFont="1" applyBorder="1" applyAlignment="1">
      <alignment horizontal="left" vertical="top" wrapText="1"/>
    </xf>
    <xf numFmtId="4" fontId="8" fillId="18" borderId="18" xfId="3" applyNumberFormat="1" applyFont="1" applyFill="1" applyBorder="1" applyAlignment="1" applyProtection="1">
      <alignment vertical="center" wrapText="1"/>
      <protection locked="0"/>
    </xf>
    <xf numFmtId="4" fontId="8" fillId="18" borderId="19" xfId="3" applyNumberFormat="1" applyFont="1" applyFill="1" applyBorder="1" applyAlignment="1" applyProtection="1">
      <alignment vertical="center" wrapText="1"/>
      <protection locked="0"/>
    </xf>
    <xf numFmtId="4" fontId="8" fillId="18" borderId="60" xfId="3" applyNumberFormat="1" applyFont="1" applyFill="1" applyBorder="1" applyAlignment="1" applyProtection="1">
      <alignment vertical="center" wrapText="1"/>
      <protection locked="0"/>
    </xf>
    <xf numFmtId="4" fontId="8" fillId="18" borderId="29" xfId="3" applyNumberFormat="1" applyFont="1" applyFill="1" applyBorder="1" applyAlignment="1" applyProtection="1">
      <alignment vertical="center" wrapText="1"/>
      <protection locked="0"/>
    </xf>
    <xf numFmtId="4" fontId="8" fillId="18" borderId="33" xfId="3" applyNumberFormat="1" applyFont="1" applyFill="1" applyBorder="1" applyAlignment="1" applyProtection="1">
      <alignment vertical="center" wrapText="1"/>
      <protection locked="0"/>
    </xf>
    <xf numFmtId="4" fontId="8" fillId="18" borderId="1" xfId="3" applyNumberFormat="1" applyFont="1" applyFill="1" applyBorder="1" applyAlignment="1" applyProtection="1">
      <alignment vertical="center" wrapText="1"/>
      <protection locked="0"/>
    </xf>
    <xf numFmtId="4" fontId="8" fillId="18" borderId="35" xfId="3" applyNumberFormat="1" applyFont="1" applyFill="1" applyBorder="1" applyAlignment="1" applyProtection="1">
      <alignment vertical="center" wrapText="1"/>
      <protection locked="0"/>
    </xf>
    <xf numFmtId="4" fontId="8" fillId="18" borderId="28" xfId="3" applyNumberFormat="1" applyFont="1" applyFill="1" applyBorder="1" applyAlignment="1" applyProtection="1">
      <alignment vertical="center" wrapText="1"/>
      <protection locked="0"/>
    </xf>
    <xf numFmtId="4" fontId="8" fillId="0" borderId="67" xfId="0" applyNumberFormat="1" applyFont="1" applyBorder="1" applyAlignment="1">
      <alignment horizontal="left" vertical="top" wrapText="1"/>
    </xf>
    <xf numFmtId="4" fontId="8" fillId="18" borderId="20" xfId="3" applyNumberFormat="1" applyFont="1" applyFill="1" applyBorder="1" applyAlignment="1" applyProtection="1">
      <alignment vertical="center" wrapText="1"/>
      <protection locked="0"/>
    </xf>
    <xf numFmtId="4" fontId="8" fillId="18" borderId="61" xfId="3" applyNumberFormat="1" applyFont="1" applyFill="1" applyBorder="1" applyAlignment="1" applyProtection="1">
      <alignment vertical="center" wrapText="1"/>
      <protection locked="0"/>
    </xf>
    <xf numFmtId="4" fontId="8" fillId="18" borderId="34" xfId="3" applyNumberFormat="1" applyFont="1" applyFill="1" applyBorder="1" applyAlignment="1" applyProtection="1">
      <alignment vertical="center" wrapText="1"/>
      <protection locked="0"/>
    </xf>
    <xf numFmtId="4" fontId="8" fillId="18" borderId="36" xfId="3" applyNumberFormat="1" applyFont="1" applyFill="1" applyBorder="1" applyAlignment="1" applyProtection="1">
      <alignment vertical="center" wrapText="1"/>
      <protection locked="0"/>
    </xf>
    <xf numFmtId="4" fontId="1" fillId="17" borderId="18" xfId="0" applyNumberFormat="1" applyFont="1" applyFill="1" applyBorder="1" applyAlignment="1" applyProtection="1">
      <alignment vertical="center"/>
      <protection locked="0"/>
    </xf>
    <xf numFmtId="4" fontId="1" fillId="17" borderId="20" xfId="0" applyNumberFormat="1" applyFont="1" applyFill="1" applyBorder="1" applyAlignment="1" applyProtection="1">
      <alignment vertical="center"/>
      <protection locked="0"/>
    </xf>
    <xf numFmtId="4" fontId="1" fillId="17" borderId="60" xfId="0" applyNumberFormat="1" applyFont="1" applyFill="1" applyBorder="1" applyAlignment="1" applyProtection="1">
      <alignment vertical="center"/>
      <protection locked="0"/>
    </xf>
    <xf numFmtId="4" fontId="1" fillId="17" borderId="61" xfId="0" applyNumberFormat="1" applyFont="1" applyFill="1" applyBorder="1" applyAlignment="1" applyProtection="1">
      <alignment vertical="center"/>
      <protection locked="0"/>
    </xf>
    <xf numFmtId="4" fontId="1" fillId="17" borderId="33" xfId="0" applyNumberFormat="1" applyFont="1" applyFill="1" applyBorder="1" applyAlignment="1" applyProtection="1">
      <alignment vertical="center"/>
      <protection locked="0"/>
    </xf>
    <xf numFmtId="4" fontId="1" fillId="17" borderId="34" xfId="0" applyNumberFormat="1" applyFont="1" applyFill="1" applyBorder="1" applyAlignment="1" applyProtection="1">
      <alignment vertical="center"/>
      <protection locked="0"/>
    </xf>
    <xf numFmtId="4" fontId="1" fillId="17" borderId="35" xfId="0" applyNumberFormat="1" applyFont="1" applyFill="1" applyBorder="1" applyAlignment="1" applyProtection="1">
      <alignment vertical="center"/>
      <protection locked="0"/>
    </xf>
    <xf numFmtId="4" fontId="1" fillId="17" borderId="36" xfId="0" applyNumberFormat="1" applyFont="1" applyFill="1" applyBorder="1" applyAlignment="1" applyProtection="1">
      <alignment vertical="center"/>
      <protection locked="0"/>
    </xf>
    <xf numFmtId="0" fontId="15" fillId="0" borderId="1" xfId="0" applyFont="1" applyBorder="1" applyAlignment="1">
      <alignment horizontal="center" vertical="center"/>
    </xf>
    <xf numFmtId="0" fontId="2" fillId="0" borderId="1" xfId="0" applyFont="1" applyBorder="1" applyAlignment="1">
      <alignment horizontal="center" vertical="center"/>
    </xf>
    <xf numFmtId="0" fontId="20" fillId="0" borderId="0" xfId="0" applyFont="1" applyAlignment="1">
      <alignment vertical="center"/>
    </xf>
    <xf numFmtId="172" fontId="0" fillId="0" borderId="0" xfId="0" applyNumberFormat="1" applyAlignment="1">
      <alignment vertical="center"/>
    </xf>
    <xf numFmtId="165" fontId="2" fillId="0" borderId="0" xfId="0" applyNumberFormat="1" applyFont="1"/>
    <xf numFmtId="165" fontId="15" fillId="31" borderId="42" xfId="2" applyFont="1" applyFill="1" applyBorder="1" applyAlignment="1">
      <alignment horizontal="center" vertical="top" wrapText="1"/>
    </xf>
    <xf numFmtId="0" fontId="0" fillId="0" borderId="0" xfId="0" applyAlignment="1">
      <alignment vertical="top"/>
    </xf>
    <xf numFmtId="165" fontId="15" fillId="31" borderId="69" xfId="2" applyFont="1" applyFill="1" applyBorder="1" applyAlignment="1">
      <alignment horizontal="center" vertical="top" wrapText="1"/>
    </xf>
    <xf numFmtId="2" fontId="8" fillId="2" borderId="29" xfId="2" applyNumberFormat="1" applyFont="1" applyFill="1" applyBorder="1" applyAlignment="1" applyProtection="1">
      <alignment horizontal="center" wrapText="1"/>
      <protection locked="0"/>
    </xf>
    <xf numFmtId="165" fontId="8" fillId="8" borderId="52" xfId="2" applyFont="1" applyFill="1" applyBorder="1" applyAlignment="1">
      <alignment horizontal="center" vertical="center" wrapText="1"/>
    </xf>
    <xf numFmtId="165" fontId="8" fillId="8" borderId="52" xfId="2" applyFont="1" applyFill="1" applyBorder="1" applyAlignment="1">
      <alignment vertical="top" wrapText="1"/>
    </xf>
    <xf numFmtId="1" fontId="10" fillId="11" borderId="1" xfId="0" applyNumberFormat="1" applyFont="1" applyFill="1" applyBorder="1" applyAlignment="1">
      <alignment horizontal="center" vertical="center"/>
    </xf>
    <xf numFmtId="165" fontId="8" fillId="8" borderId="37" xfId="2" applyFont="1" applyFill="1" applyBorder="1" applyAlignment="1">
      <alignment horizontal="center" vertical="top" wrapText="1"/>
    </xf>
    <xf numFmtId="165" fontId="8" fillId="8" borderId="32" xfId="2" applyFont="1" applyFill="1" applyBorder="1" applyAlignment="1">
      <alignment horizontal="center" vertical="top" wrapText="1"/>
    </xf>
    <xf numFmtId="14" fontId="0" fillId="0" borderId="0" xfId="0" applyNumberFormat="1" applyProtection="1">
      <protection locked="0"/>
    </xf>
    <xf numFmtId="0" fontId="0" fillId="0" borderId="70" xfId="0" applyBorder="1"/>
    <xf numFmtId="172" fontId="0" fillId="0" borderId="20" xfId="0" applyNumberFormat="1" applyBorder="1"/>
    <xf numFmtId="0" fontId="0" fillId="0" borderId="25" xfId="0" applyBorder="1"/>
    <xf numFmtId="172" fontId="0" fillId="0" borderId="34" xfId="0" applyNumberFormat="1" applyBorder="1"/>
    <xf numFmtId="0" fontId="0" fillId="0" borderId="71" xfId="0" applyBorder="1" applyAlignment="1">
      <alignment vertical="center"/>
    </xf>
    <xf numFmtId="172" fontId="0" fillId="0" borderId="36" xfId="0" applyNumberFormat="1" applyBorder="1" applyAlignment="1">
      <alignment vertical="center"/>
    </xf>
    <xf numFmtId="2" fontId="0" fillId="0" borderId="34" xfId="0" applyNumberFormat="1" applyBorder="1"/>
    <xf numFmtId="0" fontId="0" fillId="0" borderId="24" xfId="0" applyBorder="1"/>
    <xf numFmtId="2" fontId="0" fillId="0" borderId="22" xfId="0" applyNumberFormat="1" applyBorder="1"/>
    <xf numFmtId="165" fontId="0" fillId="0" borderId="20" xfId="0" applyNumberFormat="1" applyBorder="1"/>
    <xf numFmtId="10" fontId="0" fillId="0" borderId="34" xfId="1" applyNumberFormat="1" applyFont="1" applyBorder="1" applyProtection="1"/>
    <xf numFmtId="0" fontId="0" fillId="0" borderId="34" xfId="0" applyBorder="1"/>
    <xf numFmtId="0" fontId="0" fillId="0" borderId="22" xfId="0" applyBorder="1"/>
    <xf numFmtId="0" fontId="0" fillId="16" borderId="39" xfId="0" applyFill="1" applyBorder="1"/>
    <xf numFmtId="2" fontId="0" fillId="16" borderId="38" xfId="0" applyNumberFormat="1" applyFill="1" applyBorder="1"/>
    <xf numFmtId="0" fontId="20" fillId="0" borderId="32" xfId="0" applyFont="1" applyBorder="1" applyAlignment="1">
      <alignment horizontal="left"/>
    </xf>
    <xf numFmtId="0" fontId="0" fillId="0" borderId="38" xfId="0" applyBorder="1"/>
    <xf numFmtId="0" fontId="0" fillId="0" borderId="18" xfId="0" applyBorder="1"/>
    <xf numFmtId="10" fontId="0" fillId="0" borderId="20" xfId="1" applyNumberFormat="1" applyFont="1" applyBorder="1" applyAlignment="1" applyProtection="1"/>
    <xf numFmtId="0" fontId="0" fillId="0" borderId="33" xfId="0" applyBorder="1" applyAlignment="1">
      <alignment vertical="center"/>
    </xf>
    <xf numFmtId="10" fontId="0" fillId="0" borderId="34" xfId="1" applyNumberFormat="1" applyFont="1" applyBorder="1" applyAlignment="1" applyProtection="1">
      <alignment vertical="center"/>
    </xf>
    <xf numFmtId="10" fontId="0" fillId="0" borderId="34" xfId="0" applyNumberFormat="1" applyBorder="1"/>
    <xf numFmtId="2" fontId="0" fillId="0" borderId="22" xfId="1" applyNumberFormat="1" applyFont="1" applyBorder="1" applyAlignment="1" applyProtection="1"/>
    <xf numFmtId="0" fontId="7" fillId="39" borderId="32" xfId="0" applyFont="1" applyFill="1" applyBorder="1" applyAlignment="1">
      <alignment vertical="top" wrapText="1"/>
    </xf>
    <xf numFmtId="165" fontId="8" fillId="0" borderId="23" xfId="2" applyFont="1" applyBorder="1" applyAlignment="1" applyProtection="1">
      <alignment horizontal="left" vertical="center"/>
      <protection locked="0"/>
    </xf>
    <xf numFmtId="165" fontId="8" fillId="0" borderId="1" xfId="2" applyFont="1" applyBorder="1" applyAlignment="1" applyProtection="1">
      <alignment horizontal="left" vertical="center"/>
      <protection locked="0"/>
    </xf>
    <xf numFmtId="165" fontId="8" fillId="0" borderId="1" xfId="2" applyFont="1" applyBorder="1" applyAlignment="1" applyProtection="1">
      <alignment vertical="center"/>
      <protection locked="0"/>
    </xf>
    <xf numFmtId="172" fontId="8" fillId="0" borderId="1" xfId="3" applyNumberFormat="1" applyFont="1" applyBorder="1" applyAlignment="1" applyProtection="1">
      <alignment vertical="center"/>
      <protection locked="0"/>
    </xf>
    <xf numFmtId="173" fontId="8" fillId="0" borderId="1" xfId="3" applyNumberFormat="1" applyFont="1" applyBorder="1" applyAlignment="1" applyProtection="1">
      <alignment vertical="center"/>
      <protection locked="0"/>
    </xf>
    <xf numFmtId="173" fontId="35" fillId="0" borderId="0" xfId="2" applyNumberFormat="1" applyFont="1" applyAlignment="1">
      <alignment horizontal="left"/>
    </xf>
    <xf numFmtId="165" fontId="15" fillId="7" borderId="13" xfId="2" applyFont="1" applyFill="1" applyBorder="1" applyAlignment="1">
      <alignment horizontal="center" vertical="center"/>
    </xf>
    <xf numFmtId="169" fontId="15" fillId="0" borderId="0" xfId="2" applyNumberFormat="1" applyFont="1" applyAlignment="1">
      <alignment horizontal="center" vertical="center"/>
    </xf>
    <xf numFmtId="0" fontId="38" fillId="13" borderId="0" xfId="0" applyFont="1" applyFill="1" applyAlignment="1">
      <alignment vertical="top"/>
    </xf>
    <xf numFmtId="2" fontId="1" fillId="27" borderId="29" xfId="0" applyNumberFormat="1" applyFont="1" applyFill="1" applyBorder="1" applyAlignment="1">
      <alignment vertical="center"/>
    </xf>
    <xf numFmtId="2" fontId="1" fillId="27" borderId="1" xfId="0" applyNumberFormat="1" applyFont="1" applyFill="1" applyBorder="1" applyAlignment="1">
      <alignment vertical="center"/>
    </xf>
    <xf numFmtId="2" fontId="1" fillId="27" borderId="21" xfId="0" applyNumberFormat="1" applyFont="1" applyFill="1" applyBorder="1" applyAlignment="1">
      <alignment vertical="center"/>
    </xf>
    <xf numFmtId="172" fontId="8" fillId="27" borderId="1" xfId="3" applyNumberFormat="1" applyFont="1" applyFill="1" applyBorder="1" applyAlignment="1">
      <alignment vertical="center"/>
    </xf>
    <xf numFmtId="173" fontId="8" fillId="27" borderId="1" xfId="3" applyNumberFormat="1" applyFont="1" applyFill="1" applyBorder="1" applyAlignment="1">
      <alignment vertical="center"/>
    </xf>
    <xf numFmtId="173" fontId="8" fillId="27" borderId="10" xfId="3" applyNumberFormat="1" applyFont="1" applyFill="1" applyBorder="1" applyAlignment="1">
      <alignment vertical="center"/>
    </xf>
    <xf numFmtId="2" fontId="8" fillId="27" borderId="1" xfId="2" applyNumberFormat="1" applyFont="1" applyFill="1" applyBorder="1" applyAlignment="1">
      <alignment horizontal="center" wrapText="1"/>
    </xf>
    <xf numFmtId="2" fontId="11" fillId="27" borderId="1" xfId="5" applyNumberFormat="1" applyFont="1" applyFill="1" applyBorder="1" applyAlignment="1">
      <alignment vertical="center"/>
    </xf>
    <xf numFmtId="3" fontId="1" fillId="0" borderId="0" xfId="0" applyNumberFormat="1" applyFont="1"/>
    <xf numFmtId="0" fontId="1" fillId="0" borderId="73" xfId="0" applyFont="1" applyBorder="1"/>
    <xf numFmtId="0" fontId="23" fillId="0" borderId="0" xfId="0" applyFont="1" applyAlignment="1">
      <alignment vertical="center"/>
    </xf>
    <xf numFmtId="0" fontId="24" fillId="0" borderId="33" xfId="0" applyFont="1" applyBorder="1" applyAlignment="1">
      <alignment horizontal="left" vertical="top" wrapText="1"/>
    </xf>
    <xf numFmtId="0" fontId="24" fillId="0" borderId="0" xfId="0" applyFont="1" applyAlignment="1">
      <alignment horizontal="left" vertical="top" wrapText="1"/>
    </xf>
    <xf numFmtId="0" fontId="0" fillId="0" borderId="0" xfId="0" applyAlignment="1">
      <alignment horizontal="center" vertical="center" wrapText="1"/>
    </xf>
    <xf numFmtId="173" fontId="8" fillId="0" borderId="0" xfId="2" applyNumberFormat="1" applyFont="1"/>
    <xf numFmtId="173" fontId="15" fillId="0" borderId="0" xfId="2" applyNumberFormat="1" applyFont="1"/>
    <xf numFmtId="165" fontId="8" fillId="0" borderId="0" xfId="2" applyFont="1" applyAlignment="1">
      <alignment horizontal="right" vertical="center"/>
    </xf>
    <xf numFmtId="173" fontId="0" fillId="0" borderId="0" xfId="0" applyNumberFormat="1" applyAlignment="1">
      <alignment horizontal="center"/>
    </xf>
    <xf numFmtId="165" fontId="15" fillId="7" borderId="13" xfId="2" applyFont="1" applyFill="1" applyBorder="1" applyAlignment="1">
      <alignment vertical="center"/>
    </xf>
    <xf numFmtId="165" fontId="15" fillId="0" borderId="0" xfId="2" applyFont="1" applyAlignment="1">
      <alignment vertical="center"/>
    </xf>
    <xf numFmtId="165" fontId="15" fillId="0" borderId="15" xfId="2" applyFont="1" applyBorder="1" applyAlignment="1">
      <alignment vertical="center"/>
    </xf>
    <xf numFmtId="0" fontId="0" fillId="0" borderId="26" xfId="0" applyBorder="1"/>
    <xf numFmtId="0" fontId="0" fillId="0" borderId="9" xfId="0" applyBorder="1"/>
    <xf numFmtId="165" fontId="8" fillId="0" borderId="41" xfId="2" applyFont="1" applyBorder="1" applyAlignment="1">
      <alignment vertical="center"/>
    </xf>
    <xf numFmtId="165" fontId="15" fillId="35" borderId="52" xfId="2" applyFont="1" applyFill="1" applyBorder="1" applyAlignment="1">
      <alignment vertical="top" wrapText="1"/>
    </xf>
    <xf numFmtId="165" fontId="15" fillId="35" borderId="39" xfId="2" applyFont="1" applyFill="1" applyBorder="1" applyAlignment="1">
      <alignment horizontal="center" vertical="center" wrapText="1"/>
    </xf>
    <xf numFmtId="165" fontId="15" fillId="35" borderId="58" xfId="2" applyFont="1" applyFill="1" applyBorder="1" applyAlignment="1">
      <alignment horizontal="center" vertical="center" wrapText="1"/>
    </xf>
    <xf numFmtId="165" fontId="15" fillId="35" borderId="57" xfId="2" applyFont="1" applyFill="1" applyBorder="1" applyAlignment="1">
      <alignment horizontal="center" vertical="center" wrapText="1"/>
    </xf>
    <xf numFmtId="165" fontId="15" fillId="16" borderId="59" xfId="2" applyFont="1" applyFill="1" applyBorder="1" applyAlignment="1">
      <alignment vertical="center"/>
    </xf>
    <xf numFmtId="169" fontId="15" fillId="16" borderId="21" xfId="2" applyNumberFormat="1" applyFont="1" applyFill="1" applyBorder="1" applyAlignment="1">
      <alignment horizontal="center" vertical="center"/>
    </xf>
    <xf numFmtId="169" fontId="15" fillId="16" borderId="22" xfId="2" applyNumberFormat="1" applyFont="1" applyFill="1" applyBorder="1" applyAlignment="1">
      <alignment horizontal="center" vertical="center"/>
    </xf>
    <xf numFmtId="165" fontId="8" fillId="0" borderId="0" xfId="2" applyFont="1" applyAlignment="1">
      <alignment horizontal="left" vertical="top" wrapText="1"/>
    </xf>
    <xf numFmtId="165" fontId="15" fillId="35" borderId="32" xfId="2" applyFont="1" applyFill="1" applyBorder="1" applyAlignment="1">
      <alignment horizontal="left" vertical="top" wrapText="1"/>
    </xf>
    <xf numFmtId="165" fontId="15" fillId="35" borderId="37" xfId="2" applyFont="1" applyFill="1" applyBorder="1" applyAlignment="1">
      <alignment horizontal="left" vertical="top" wrapText="1"/>
    </xf>
    <xf numFmtId="165" fontId="15" fillId="35" borderId="38" xfId="2" applyFont="1" applyFill="1" applyBorder="1" applyAlignment="1">
      <alignment horizontal="left" vertical="top" wrapText="1"/>
    </xf>
    <xf numFmtId="173" fontId="8" fillId="0" borderId="40" xfId="2" applyNumberFormat="1" applyFont="1" applyBorder="1"/>
    <xf numFmtId="173" fontId="8" fillId="0" borderId="40" xfId="2" applyNumberFormat="1" applyFont="1" applyBorder="1" applyAlignment="1">
      <alignment horizontal="left"/>
    </xf>
    <xf numFmtId="173" fontId="8" fillId="0" borderId="0" xfId="2" applyNumberFormat="1" applyFont="1" applyAlignment="1">
      <alignment horizontal="left" vertical="top"/>
    </xf>
    <xf numFmtId="165" fontId="15" fillId="2" borderId="75" xfId="2" applyFont="1" applyFill="1" applyBorder="1" applyAlignment="1">
      <alignment vertical="center"/>
    </xf>
    <xf numFmtId="173" fontId="15" fillId="2" borderId="44" xfId="2" applyNumberFormat="1" applyFont="1" applyFill="1" applyBorder="1" applyAlignment="1">
      <alignment horizontal="left"/>
    </xf>
    <xf numFmtId="173" fontId="15" fillId="2" borderId="76" xfId="2" applyNumberFormat="1" applyFont="1" applyFill="1" applyBorder="1" applyAlignment="1">
      <alignment horizontal="left"/>
    </xf>
    <xf numFmtId="165" fontId="15" fillId="35" borderId="56" xfId="2" applyFont="1" applyFill="1" applyBorder="1" applyAlignment="1">
      <alignment vertical="top" wrapText="1"/>
    </xf>
    <xf numFmtId="173" fontId="2" fillId="0" borderId="1" xfId="0" applyNumberFormat="1" applyFont="1" applyBorder="1" applyAlignment="1">
      <alignment horizontal="center" vertical="center"/>
    </xf>
    <xf numFmtId="165" fontId="8" fillId="0" borderId="18" xfId="2" applyFont="1" applyBorder="1" applyAlignment="1">
      <alignment vertical="center"/>
    </xf>
    <xf numFmtId="169" fontId="8" fillId="0" borderId="19" xfId="2" applyNumberFormat="1" applyFont="1" applyBorder="1" applyAlignment="1">
      <alignment horizontal="center" vertical="center"/>
    </xf>
    <xf numFmtId="169" fontId="8" fillId="0" borderId="20" xfId="2" applyNumberFormat="1" applyFont="1" applyBorder="1" applyAlignment="1">
      <alignment horizontal="center" vertical="center"/>
    </xf>
    <xf numFmtId="0" fontId="41" fillId="13" borderId="0" xfId="0" applyFont="1" applyFill="1"/>
    <xf numFmtId="0" fontId="35" fillId="0" borderId="0" xfId="0" applyFont="1" applyProtection="1">
      <protection locked="0"/>
    </xf>
    <xf numFmtId="4" fontId="2" fillId="0" borderId="1" xfId="0" applyNumberFormat="1" applyFont="1" applyBorder="1"/>
    <xf numFmtId="0" fontId="38" fillId="13" borderId="0" xfId="0" applyFont="1" applyFill="1" applyAlignment="1">
      <alignment vertical="center"/>
    </xf>
    <xf numFmtId="0" fontId="0" fillId="13" borderId="0" xfId="0" applyFill="1" applyAlignment="1">
      <alignment vertical="center"/>
    </xf>
    <xf numFmtId="164" fontId="0" fillId="0" borderId="1" xfId="8" applyFont="1" applyFill="1" applyBorder="1"/>
    <xf numFmtId="165" fontId="35" fillId="0" borderId="0" xfId="2" applyFont="1"/>
    <xf numFmtId="2" fontId="0" fillId="13" borderId="1" xfId="0" applyNumberFormat="1" applyFill="1" applyBorder="1"/>
    <xf numFmtId="165" fontId="15" fillId="0" borderId="77" xfId="2" applyFont="1" applyBorder="1" applyAlignment="1">
      <alignment horizontal="center" vertical="top" wrapText="1"/>
    </xf>
    <xf numFmtId="0" fontId="19" fillId="30" borderId="0" xfId="0" applyFont="1" applyFill="1"/>
    <xf numFmtId="0" fontId="0" fillId="30" borderId="0" xfId="0" applyFill="1"/>
    <xf numFmtId="16" fontId="0" fillId="0" borderId="1" xfId="0" quotePrefix="1" applyNumberFormat="1" applyBorder="1"/>
    <xf numFmtId="4" fontId="0" fillId="0" borderId="1" xfId="0" quotePrefix="1" applyNumberFormat="1" applyBorder="1"/>
    <xf numFmtId="172" fontId="0" fillId="0" borderId="0" xfId="0" applyNumberFormat="1" applyAlignment="1">
      <alignment horizontal="center"/>
    </xf>
    <xf numFmtId="0" fontId="0" fillId="0" borderId="78" xfId="0" applyBorder="1" applyAlignment="1">
      <alignment horizontal="left"/>
    </xf>
    <xf numFmtId="4" fontId="0" fillId="0" borderId="1" xfId="0" applyNumberFormat="1" applyBorder="1" applyAlignment="1">
      <alignment horizontal="left"/>
    </xf>
    <xf numFmtId="178" fontId="0" fillId="0" borderId="0" xfId="8" applyNumberFormat="1" applyFont="1" applyAlignment="1">
      <alignment horizontal="center"/>
    </xf>
    <xf numFmtId="4" fontId="13" fillId="0" borderId="0" xfId="0" applyNumberFormat="1" applyFont="1"/>
    <xf numFmtId="4" fontId="2" fillId="30" borderId="1" xfId="0" applyNumberFormat="1" applyFont="1" applyFill="1" applyBorder="1"/>
    <xf numFmtId="4" fontId="43" fillId="0" borderId="0" xfId="0" applyNumberFormat="1" applyFont="1"/>
    <xf numFmtId="165" fontId="0" fillId="0" borderId="1" xfId="5" applyFont="1" applyBorder="1" applyAlignment="1">
      <alignment vertical="center"/>
    </xf>
    <xf numFmtId="177" fontId="2" fillId="0" borderId="1" xfId="0" applyNumberFormat="1" applyFont="1" applyBorder="1"/>
    <xf numFmtId="165" fontId="0" fillId="0" borderId="12" xfId="5" applyFont="1" applyBorder="1" applyAlignment="1">
      <alignment vertical="center"/>
    </xf>
    <xf numFmtId="4" fontId="0" fillId="0" borderId="29" xfId="0" applyNumberFormat="1" applyBorder="1"/>
    <xf numFmtId="165" fontId="0" fillId="0" borderId="2" xfId="5" applyFont="1" applyBorder="1" applyAlignment="1">
      <alignment vertical="center"/>
    </xf>
    <xf numFmtId="165" fontId="0" fillId="0" borderId="0" xfId="5" applyFont="1" applyAlignment="1">
      <alignment vertical="center"/>
    </xf>
    <xf numFmtId="0" fontId="0" fillId="0" borderId="1" xfId="0" applyBorder="1" applyAlignment="1">
      <alignment vertical="center" wrapText="1"/>
    </xf>
    <xf numFmtId="4" fontId="0" fillId="0" borderId="0" xfId="0" applyNumberFormat="1" applyAlignment="1">
      <alignment horizontal="right"/>
    </xf>
    <xf numFmtId="0" fontId="2" fillId="0" borderId="0" xfId="0" quotePrefix="1" applyFont="1" applyAlignment="1">
      <alignment horizontal="right"/>
    </xf>
    <xf numFmtId="177" fontId="0" fillId="0" borderId="0" xfId="0" applyNumberFormat="1"/>
    <xf numFmtId="177" fontId="0" fillId="0" borderId="0" xfId="7" applyNumberFormat="1" applyFont="1"/>
    <xf numFmtId="0" fontId="19" fillId="13" borderId="0" xfId="0" applyFont="1" applyFill="1"/>
    <xf numFmtId="0" fontId="15" fillId="0" borderId="11" xfId="2" applyNumberFormat="1" applyFont="1" applyBorder="1" applyAlignment="1">
      <alignment horizontal="center" vertical="top" wrapText="1"/>
    </xf>
    <xf numFmtId="165" fontId="15" fillId="0" borderId="11" xfId="2" applyFont="1" applyBorder="1" applyAlignment="1">
      <alignment horizontal="center" vertical="top" wrapText="1"/>
    </xf>
    <xf numFmtId="172" fontId="15" fillId="0" borderId="11" xfId="2" applyNumberFormat="1" applyFont="1" applyBorder="1" applyAlignment="1">
      <alignment horizontal="center" vertical="top" wrapText="1"/>
    </xf>
    <xf numFmtId="165" fontId="15" fillId="0" borderId="14" xfId="2" applyFont="1" applyBorder="1" applyAlignment="1">
      <alignment horizontal="center" vertical="top" wrapText="1"/>
    </xf>
    <xf numFmtId="165" fontId="15" fillId="0" borderId="78" xfId="2" applyFont="1" applyBorder="1" applyAlignment="1">
      <alignment horizontal="center" vertical="top" wrapText="1"/>
    </xf>
    <xf numFmtId="165" fontId="15" fillId="0" borderId="17" xfId="2" applyFont="1" applyBorder="1" applyAlignment="1">
      <alignment horizontal="center" vertical="top" wrapText="1"/>
    </xf>
    <xf numFmtId="4" fontId="8" fillId="40" borderId="19" xfId="3" applyNumberFormat="1" applyFont="1" applyFill="1" applyBorder="1" applyAlignment="1">
      <alignment vertical="center" wrapText="1"/>
    </xf>
    <xf numFmtId="4" fontId="8" fillId="40" borderId="29" xfId="3" applyNumberFormat="1" applyFont="1" applyFill="1" applyBorder="1" applyAlignment="1">
      <alignment vertical="center" wrapText="1"/>
    </xf>
    <xf numFmtId="4" fontId="8" fillId="40" borderId="1" xfId="3" applyNumberFormat="1" applyFont="1" applyFill="1" applyBorder="1" applyAlignment="1">
      <alignment vertical="center" wrapText="1"/>
    </xf>
    <xf numFmtId="4" fontId="8" fillId="40" borderId="28" xfId="3" applyNumberFormat="1" applyFont="1" applyFill="1" applyBorder="1" applyAlignment="1">
      <alignment vertical="center" wrapText="1"/>
    </xf>
    <xf numFmtId="4" fontId="15" fillId="40" borderId="37" xfId="3" applyNumberFormat="1" applyFont="1" applyFill="1" applyBorder="1" applyAlignment="1">
      <alignment vertical="center" wrapText="1"/>
    </xf>
    <xf numFmtId="4" fontId="15" fillId="18" borderId="38" xfId="3" applyNumberFormat="1" applyFont="1" applyFill="1" applyBorder="1" applyAlignment="1">
      <alignment vertical="center" wrapText="1"/>
    </xf>
    <xf numFmtId="4" fontId="2" fillId="17" borderId="32" xfId="0" applyNumberFormat="1" applyFont="1" applyFill="1" applyBorder="1" applyAlignment="1">
      <alignment vertical="center"/>
    </xf>
    <xf numFmtId="4" fontId="2" fillId="17" borderId="38" xfId="0" applyNumberFormat="1" applyFont="1" applyFill="1" applyBorder="1" applyAlignment="1">
      <alignment vertical="center"/>
    </xf>
    <xf numFmtId="4" fontId="15" fillId="18" borderId="37" xfId="3" applyNumberFormat="1" applyFont="1" applyFill="1" applyBorder="1" applyAlignment="1">
      <alignment vertical="center" wrapText="1"/>
    </xf>
    <xf numFmtId="4" fontId="15" fillId="18" borderId="32" xfId="3" applyNumberFormat="1" applyFont="1" applyFill="1" applyBorder="1" applyAlignment="1">
      <alignment vertical="center" wrapText="1"/>
    </xf>
    <xf numFmtId="10" fontId="0" fillId="0" borderId="34" xfId="1" applyNumberFormat="1" applyFont="1" applyFill="1" applyBorder="1" applyProtection="1"/>
    <xf numFmtId="3" fontId="8" fillId="26" borderId="49" xfId="6" applyNumberFormat="1" applyFont="1" applyFill="1" applyBorder="1" applyAlignment="1" applyProtection="1">
      <alignment horizontal="right" vertical="center" wrapText="1"/>
      <protection locked="0"/>
    </xf>
    <xf numFmtId="3" fontId="8" fillId="26" borderId="53" xfId="6" applyNumberFormat="1" applyFont="1" applyFill="1" applyBorder="1" applyAlignment="1" applyProtection="1">
      <alignment horizontal="right" vertical="center" wrapText="1"/>
      <protection locked="0"/>
    </xf>
    <xf numFmtId="3" fontId="8" fillId="26" borderId="52" xfId="6" applyNumberFormat="1" applyFont="1" applyFill="1" applyBorder="1" applyAlignment="1" applyProtection="1">
      <alignment horizontal="right" vertical="center" wrapText="1"/>
      <protection locked="0"/>
    </xf>
    <xf numFmtId="3" fontId="8" fillId="26" borderId="54" xfId="6" applyNumberFormat="1" applyFont="1" applyFill="1" applyBorder="1" applyAlignment="1" applyProtection="1">
      <alignment horizontal="right" vertical="center" wrapText="1"/>
      <protection locked="0"/>
    </xf>
    <xf numFmtId="3" fontId="8" fillId="26" borderId="48" xfId="6" applyNumberFormat="1" applyFont="1" applyFill="1" applyBorder="1" applyAlignment="1" applyProtection="1">
      <alignment horizontal="right" vertical="center" wrapText="1"/>
      <protection locked="0"/>
    </xf>
    <xf numFmtId="4" fontId="23" fillId="13" borderId="52" xfId="1" applyNumberFormat="1" applyFont="1" applyFill="1" applyBorder="1" applyAlignment="1" applyProtection="1">
      <alignment horizontal="center" vertical="center"/>
    </xf>
    <xf numFmtId="0" fontId="8" fillId="8" borderId="48" xfId="6" applyFont="1" applyFill="1" applyBorder="1" applyAlignment="1">
      <alignment horizontal="left" vertical="center" wrapText="1"/>
    </xf>
    <xf numFmtId="3" fontId="8" fillId="8" borderId="49" xfId="6" applyNumberFormat="1" applyFont="1" applyFill="1" applyBorder="1" applyAlignment="1">
      <alignment horizontal="right" vertical="center" wrapText="1"/>
    </xf>
    <xf numFmtId="4" fontId="8" fillId="8" borderId="49" xfId="6" applyNumberFormat="1" applyFont="1" applyFill="1" applyBorder="1" applyAlignment="1">
      <alignment horizontal="right" vertical="center" wrapText="1"/>
    </xf>
    <xf numFmtId="0" fontId="15" fillId="0" borderId="39" xfId="0" applyFont="1" applyBorder="1" applyAlignment="1">
      <alignment horizontal="left" vertical="top"/>
    </xf>
    <xf numFmtId="0" fontId="8" fillId="0" borderId="20" xfId="0" applyFont="1" applyBorder="1" applyAlignment="1">
      <alignment horizontal="left" vertical="top"/>
    </xf>
    <xf numFmtId="0" fontId="8" fillId="0" borderId="61" xfId="0" applyFont="1" applyBorder="1" applyAlignment="1">
      <alignment horizontal="left" vertical="top"/>
    </xf>
    <xf numFmtId="0" fontId="8" fillId="0" borderId="34" xfId="0" applyFont="1" applyBorder="1" applyAlignment="1">
      <alignment horizontal="left" vertical="top"/>
    </xf>
    <xf numFmtId="0" fontId="8" fillId="0" borderId="36" xfId="0" applyFont="1" applyBorder="1" applyAlignment="1">
      <alignment horizontal="left" vertical="top"/>
    </xf>
    <xf numFmtId="0" fontId="15" fillId="0" borderId="52" xfId="0" applyFont="1" applyBorder="1" applyAlignment="1">
      <alignment horizontal="left" vertical="top"/>
    </xf>
    <xf numFmtId="0" fontId="2" fillId="23" borderId="0" xfId="0" applyFont="1" applyFill="1" applyAlignment="1">
      <alignment vertical="top" wrapText="1"/>
    </xf>
    <xf numFmtId="0" fontId="2" fillId="41" borderId="0" xfId="0" applyFont="1" applyFill="1" applyAlignment="1">
      <alignment vertical="top" wrapText="1"/>
    </xf>
    <xf numFmtId="0" fontId="2" fillId="42" borderId="0" xfId="0" applyFont="1" applyFill="1" applyAlignment="1">
      <alignment vertical="top" wrapText="1"/>
    </xf>
    <xf numFmtId="4" fontId="44" fillId="0" borderId="0" xfId="0" applyNumberFormat="1" applyFont="1"/>
    <xf numFmtId="0" fontId="2" fillId="27" borderId="0" xfId="0" applyFont="1" applyFill="1" applyAlignment="1">
      <alignment vertical="top" wrapText="1"/>
    </xf>
    <xf numFmtId="0" fontId="18" fillId="43" borderId="0" xfId="0" applyFont="1" applyFill="1" applyAlignment="1">
      <alignment vertical="top" wrapText="1"/>
    </xf>
    <xf numFmtId="0" fontId="45" fillId="0" borderId="0" xfId="0" applyFont="1"/>
    <xf numFmtId="0" fontId="46" fillId="44" borderId="80" xfId="0" applyFont="1" applyFill="1" applyBorder="1" applyAlignment="1">
      <alignment vertical="top" wrapText="1"/>
    </xf>
    <xf numFmtId="0" fontId="46" fillId="13" borderId="80" xfId="0" applyFont="1" applyFill="1" applyBorder="1" applyAlignment="1">
      <alignment vertical="top" wrapText="1"/>
    </xf>
    <xf numFmtId="0" fontId="46" fillId="0" borderId="0" xfId="0" applyFont="1"/>
    <xf numFmtId="0" fontId="46" fillId="0" borderId="80" xfId="0" applyFont="1" applyBorder="1"/>
    <xf numFmtId="4" fontId="23" fillId="13" borderId="0" xfId="0" applyNumberFormat="1" applyFont="1" applyFill="1"/>
    <xf numFmtId="0" fontId="0" fillId="45" borderId="0" xfId="0" applyFill="1" applyProtection="1">
      <protection locked="0"/>
    </xf>
    <xf numFmtId="49" fontId="0" fillId="0" borderId="0" xfId="0" applyNumberFormat="1"/>
    <xf numFmtId="0" fontId="0" fillId="0" borderId="50" xfId="0" applyBorder="1" applyAlignment="1">
      <alignment vertical="top" wrapText="1"/>
    </xf>
    <xf numFmtId="0" fontId="0" fillId="0" borderId="51" xfId="0" applyBorder="1" applyAlignment="1">
      <alignment vertical="top" wrapText="1"/>
    </xf>
    <xf numFmtId="0" fontId="7" fillId="39" borderId="58" xfId="0" applyFont="1" applyFill="1" applyBorder="1" applyAlignment="1">
      <alignment vertical="top" wrapText="1"/>
    </xf>
    <xf numFmtId="3" fontId="0" fillId="0" borderId="40" xfId="0" applyNumberFormat="1" applyBorder="1"/>
    <xf numFmtId="3" fontId="0" fillId="0" borderId="43" xfId="0" applyNumberFormat="1" applyBorder="1"/>
    <xf numFmtId="0" fontId="0" fillId="0" borderId="81" xfId="0" applyBorder="1"/>
    <xf numFmtId="0" fontId="0" fillId="0" borderId="55" xfId="0" applyBorder="1"/>
    <xf numFmtId="0" fontId="2" fillId="0" borderId="52" xfId="0" applyFont="1" applyBorder="1"/>
    <xf numFmtId="4" fontId="0" fillId="0" borderId="50" xfId="0" applyNumberFormat="1" applyBorder="1"/>
    <xf numFmtId="3" fontId="0" fillId="0" borderId="51" xfId="0" applyNumberFormat="1" applyBorder="1"/>
    <xf numFmtId="3" fontId="0" fillId="0" borderId="74" xfId="0" applyNumberFormat="1" applyBorder="1"/>
    <xf numFmtId="165" fontId="8" fillId="0" borderId="16" xfId="2" applyFont="1" applyBorder="1" applyAlignment="1" applyProtection="1">
      <alignment horizontal="left" vertical="center"/>
      <protection locked="0"/>
    </xf>
    <xf numFmtId="0" fontId="8" fillId="0" borderId="1" xfId="2" applyNumberFormat="1" applyFont="1" applyBorder="1" applyAlignment="1" applyProtection="1">
      <alignment vertical="center"/>
      <protection locked="0"/>
    </xf>
    <xf numFmtId="1" fontId="8" fillId="0" borderId="1" xfId="3" applyNumberFormat="1" applyFont="1" applyBorder="1" applyAlignment="1" applyProtection="1">
      <alignment vertical="center"/>
      <protection locked="0"/>
    </xf>
    <xf numFmtId="2" fontId="8" fillId="0" borderId="1" xfId="3" applyNumberFormat="1" applyFont="1" applyBorder="1" applyAlignment="1" applyProtection="1">
      <alignment vertical="center"/>
      <protection locked="0"/>
    </xf>
    <xf numFmtId="4" fontId="0" fillId="0" borderId="56" xfId="0" applyNumberFormat="1" applyBorder="1"/>
    <xf numFmtId="4" fontId="0" fillId="0" borderId="81" xfId="0" applyNumberFormat="1" applyBorder="1"/>
    <xf numFmtId="4" fontId="0" fillId="0" borderId="55" xfId="0" applyNumberFormat="1" applyBorder="1"/>
    <xf numFmtId="4" fontId="0" fillId="0" borderId="52" xfId="0" applyNumberFormat="1" applyBorder="1"/>
    <xf numFmtId="3" fontId="0" fillId="0" borderId="57" xfId="0" applyNumberFormat="1" applyBorder="1"/>
    <xf numFmtId="0" fontId="1" fillId="0" borderId="45" xfId="0" applyFont="1" applyBorder="1"/>
    <xf numFmtId="3" fontId="0" fillId="2" borderId="33" xfId="0" applyNumberFormat="1" applyFill="1" applyBorder="1" applyAlignment="1" applyProtection="1">
      <alignment wrapText="1"/>
      <protection locked="0"/>
    </xf>
    <xf numFmtId="3" fontId="0" fillId="16" borderId="33" xfId="0" applyNumberFormat="1" applyFill="1" applyBorder="1" applyAlignment="1" applyProtection="1">
      <alignment wrapText="1"/>
      <protection locked="0"/>
    </xf>
    <xf numFmtId="0" fontId="2" fillId="31" borderId="0" xfId="0" applyFont="1" applyFill="1" applyAlignment="1">
      <alignment vertical="top" wrapText="1"/>
    </xf>
    <xf numFmtId="0" fontId="0" fillId="29" borderId="1" xfId="0" applyFill="1" applyBorder="1" applyAlignment="1" applyProtection="1">
      <alignment vertical="center"/>
      <protection locked="0"/>
    </xf>
    <xf numFmtId="0" fontId="0" fillId="0" borderId="74" xfId="0" applyBorder="1" applyAlignment="1">
      <alignment vertical="top" wrapText="1"/>
    </xf>
    <xf numFmtId="3" fontId="42" fillId="0" borderId="0" xfId="0" applyNumberFormat="1" applyFont="1" applyAlignment="1">
      <alignment vertical="center"/>
    </xf>
    <xf numFmtId="0" fontId="8" fillId="12" borderId="79" xfId="6" applyFont="1" applyFill="1" applyBorder="1" applyAlignment="1">
      <alignment horizontal="left" vertical="top" wrapText="1"/>
    </xf>
    <xf numFmtId="165" fontId="15" fillId="35" borderId="66" xfId="2" applyFont="1" applyFill="1" applyBorder="1" applyAlignment="1">
      <alignment horizontal="center" vertical="center" wrapText="1"/>
    </xf>
    <xf numFmtId="165" fontId="15" fillId="35" borderId="68" xfId="2" applyFont="1" applyFill="1" applyBorder="1" applyAlignment="1">
      <alignment horizontal="center" vertical="center" wrapText="1"/>
    </xf>
    <xf numFmtId="165" fontId="15" fillId="35" borderId="67" xfId="2" applyFont="1" applyFill="1" applyBorder="1" applyAlignment="1">
      <alignment horizontal="center" vertical="center" wrapText="1"/>
    </xf>
    <xf numFmtId="10" fontId="2" fillId="0" borderId="1" xfId="1" applyNumberFormat="1" applyFont="1" applyBorder="1" applyAlignment="1" applyProtection="1">
      <alignment horizontal="center" vertical="center"/>
    </xf>
    <xf numFmtId="0" fontId="47" fillId="0" borderId="0" xfId="0" applyFont="1" applyProtection="1">
      <protection locked="0"/>
    </xf>
    <xf numFmtId="10" fontId="0" fillId="27" borderId="38" xfId="1" applyNumberFormat="1" applyFont="1" applyFill="1" applyBorder="1" applyProtection="1"/>
    <xf numFmtId="10" fontId="8" fillId="40" borderId="19" xfId="1" applyNumberFormat="1" applyFont="1" applyFill="1" applyBorder="1" applyAlignment="1">
      <alignment vertical="center" wrapText="1"/>
    </xf>
    <xf numFmtId="10" fontId="8" fillId="40" borderId="29" xfId="1" applyNumberFormat="1" applyFont="1" applyFill="1" applyBorder="1" applyAlignment="1">
      <alignment vertical="center" wrapText="1"/>
    </xf>
    <xf numFmtId="10" fontId="8" fillId="40" borderId="1" xfId="1" applyNumberFormat="1" applyFont="1" applyFill="1" applyBorder="1" applyAlignment="1">
      <alignment vertical="center" wrapText="1"/>
    </xf>
    <xf numFmtId="10" fontId="8" fillId="40" borderId="28" xfId="1" applyNumberFormat="1" applyFont="1" applyFill="1" applyBorder="1" applyAlignment="1">
      <alignment vertical="center" wrapText="1"/>
    </xf>
    <xf numFmtId="10" fontId="15" fillId="40" borderId="37" xfId="1" applyNumberFormat="1" applyFont="1" applyFill="1" applyBorder="1" applyAlignment="1">
      <alignment vertical="center" wrapText="1"/>
    </xf>
    <xf numFmtId="0" fontId="11" fillId="0" borderId="0" xfId="0" applyFont="1"/>
    <xf numFmtId="0" fontId="48" fillId="0" borderId="0" xfId="0" applyFont="1"/>
    <xf numFmtId="0" fontId="8" fillId="0" borderId="1" xfId="3" applyFont="1" applyBorder="1" applyAlignment="1" applyProtection="1">
      <alignment vertical="center"/>
      <protection locked="0"/>
    </xf>
    <xf numFmtId="0" fontId="27" fillId="0" borderId="0" xfId="0" applyFont="1" applyAlignment="1">
      <alignment vertical="center"/>
    </xf>
    <xf numFmtId="0" fontId="0" fillId="0" borderId="0" xfId="0" applyAlignment="1">
      <alignment horizontal="center" vertical="top"/>
    </xf>
    <xf numFmtId="3" fontId="0" fillId="46" borderId="18" xfId="0" applyNumberFormat="1" applyFill="1" applyBorder="1" applyAlignment="1">
      <alignment wrapText="1"/>
    </xf>
    <xf numFmtId="3" fontId="0" fillId="46" borderId="33" xfId="0" applyNumberFormat="1" applyFill="1" applyBorder="1" applyAlignment="1">
      <alignment wrapText="1"/>
    </xf>
    <xf numFmtId="4" fontId="0" fillId="46" borderId="59" xfId="0" applyNumberFormat="1" applyFill="1" applyBorder="1" applyAlignment="1">
      <alignment wrapText="1"/>
    </xf>
    <xf numFmtId="3" fontId="0" fillId="2" borderId="20" xfId="0" applyNumberFormat="1" applyFill="1" applyBorder="1" applyProtection="1">
      <protection locked="0"/>
    </xf>
    <xf numFmtId="3" fontId="0" fillId="46" borderId="34" xfId="0" applyNumberFormat="1" applyFill="1" applyBorder="1"/>
    <xf numFmtId="3" fontId="0" fillId="2" borderId="34" xfId="0" applyNumberFormat="1" applyFill="1" applyBorder="1" applyProtection="1">
      <protection locked="0"/>
    </xf>
    <xf numFmtId="3" fontId="0" fillId="16" borderId="20" xfId="0" applyNumberFormat="1" applyFill="1" applyBorder="1" applyProtection="1">
      <protection locked="0"/>
    </xf>
    <xf numFmtId="3" fontId="0" fillId="16" borderId="34" xfId="0" applyNumberFormat="1" applyFill="1" applyBorder="1" applyProtection="1">
      <protection locked="0"/>
    </xf>
    <xf numFmtId="4" fontId="0" fillId="16" borderId="22" xfId="0" applyNumberFormat="1" applyFill="1" applyBorder="1" applyProtection="1">
      <protection locked="0"/>
    </xf>
    <xf numFmtId="0" fontId="7" fillId="39" borderId="38" xfId="0" applyFont="1" applyFill="1" applyBorder="1" applyAlignment="1">
      <alignment vertical="top" wrapText="1"/>
    </xf>
    <xf numFmtId="0" fontId="38" fillId="0" borderId="0" xfId="0" applyFont="1" applyAlignment="1">
      <alignment horizontal="left" vertical="top"/>
    </xf>
    <xf numFmtId="0" fontId="8" fillId="26" borderId="49" xfId="6" applyFont="1" applyFill="1" applyBorder="1" applyAlignment="1" applyProtection="1">
      <alignment horizontal="left" vertical="center" wrapText="1"/>
      <protection locked="0"/>
    </xf>
    <xf numFmtId="0" fontId="8" fillId="26" borderId="53" xfId="6" applyFont="1" applyFill="1" applyBorder="1" applyAlignment="1" applyProtection="1">
      <alignment horizontal="left" vertical="center" wrapText="1"/>
      <protection locked="0"/>
    </xf>
    <xf numFmtId="0" fontId="8" fillId="26" borderId="52" xfId="6" applyFont="1" applyFill="1" applyBorder="1" applyAlignment="1" applyProtection="1">
      <alignment horizontal="left" vertical="center" wrapText="1"/>
      <protection locked="0"/>
    </xf>
    <xf numFmtId="0" fontId="8" fillId="26" borderId="54" xfId="6" applyFont="1" applyFill="1" applyBorder="1" applyAlignment="1" applyProtection="1">
      <alignment horizontal="left" vertical="center" wrapText="1"/>
      <protection locked="0"/>
    </xf>
    <xf numFmtId="0" fontId="8" fillId="26" borderId="48" xfId="6" applyFont="1" applyFill="1" applyBorder="1" applyAlignment="1" applyProtection="1">
      <alignment horizontal="left" vertical="center" wrapText="1"/>
      <protection locked="0"/>
    </xf>
    <xf numFmtId="0" fontId="0" fillId="0" borderId="56" xfId="0" applyBorder="1"/>
    <xf numFmtId="3" fontId="0" fillId="0" borderId="82" xfId="0" applyNumberFormat="1" applyBorder="1"/>
    <xf numFmtId="2" fontId="0" fillId="0" borderId="0" xfId="0" applyNumberFormat="1"/>
    <xf numFmtId="4" fontId="44" fillId="0" borderId="0" xfId="0" applyNumberFormat="1" applyFont="1" applyAlignment="1">
      <alignment horizontal="right"/>
    </xf>
    <xf numFmtId="3" fontId="0" fillId="0" borderId="52" xfId="0" applyNumberFormat="1" applyBorder="1"/>
    <xf numFmtId="4" fontId="0" fillId="28" borderId="52" xfId="0" applyNumberFormat="1" applyFill="1" applyBorder="1"/>
    <xf numFmtId="179" fontId="0" fillId="0" borderId="0" xfId="0" applyNumberFormat="1"/>
    <xf numFmtId="0" fontId="0" fillId="0" borderId="1" xfId="0" applyBorder="1" applyAlignment="1">
      <alignment horizontal="left" vertical="center"/>
    </xf>
    <xf numFmtId="0" fontId="39" fillId="45" borderId="0" xfId="0" applyFont="1" applyFill="1" applyAlignment="1" applyProtection="1">
      <alignment horizontal="center"/>
      <protection locked="0"/>
    </xf>
    <xf numFmtId="0" fontId="25" fillId="0" borderId="0" xfId="6" applyFont="1" applyAlignment="1">
      <alignment horizontal="center" vertical="center" wrapText="1"/>
    </xf>
    <xf numFmtId="0" fontId="16" fillId="12" borderId="39" xfId="6" applyFont="1" applyFill="1" applyBorder="1" applyAlignment="1">
      <alignment horizontal="center" vertical="center" wrapText="1"/>
    </xf>
    <xf numFmtId="0" fontId="16" fillId="12" borderId="57" xfId="6" applyFont="1" applyFill="1" applyBorder="1" applyAlignment="1">
      <alignment horizontal="center" vertical="center" wrapText="1"/>
    </xf>
    <xf numFmtId="165" fontId="27" fillId="3" borderId="56" xfId="2" applyFont="1" applyFill="1" applyBorder="1" applyAlignment="1">
      <alignment horizontal="center" vertical="center"/>
    </xf>
    <xf numFmtId="165" fontId="16" fillId="3" borderId="56" xfId="2" applyFont="1" applyFill="1" applyBorder="1" applyAlignment="1">
      <alignment horizontal="center" vertical="center"/>
    </xf>
    <xf numFmtId="165" fontId="16" fillId="3" borderId="39" xfId="2" applyFont="1" applyFill="1" applyBorder="1" applyAlignment="1">
      <alignment horizontal="center" vertical="center"/>
    </xf>
    <xf numFmtId="165" fontId="16" fillId="3" borderId="58" xfId="2" applyFont="1" applyFill="1" applyBorder="1" applyAlignment="1">
      <alignment horizontal="center" vertical="center"/>
    </xf>
    <xf numFmtId="165" fontId="27" fillId="3" borderId="39" xfId="2" applyFont="1" applyFill="1" applyBorder="1" applyAlignment="1">
      <alignment horizontal="center" vertical="center"/>
    </xf>
    <xf numFmtId="165" fontId="27" fillId="3" borderId="57" xfId="2" applyFont="1" applyFill="1" applyBorder="1" applyAlignment="1">
      <alignment horizontal="center" vertical="center"/>
    </xf>
    <xf numFmtId="166" fontId="27" fillId="0" borderId="39" xfId="3" applyNumberFormat="1" applyFont="1" applyBorder="1" applyAlignment="1">
      <alignment horizontal="center" vertical="top"/>
    </xf>
    <xf numFmtId="166" fontId="27" fillId="0" borderId="58" xfId="3" applyNumberFormat="1" applyFont="1" applyBorder="1" applyAlignment="1">
      <alignment horizontal="center" vertical="top"/>
    </xf>
    <xf numFmtId="166" fontId="27" fillId="0" borderId="57" xfId="3" applyNumberFormat="1" applyFont="1" applyBorder="1" applyAlignment="1">
      <alignment horizontal="center" vertical="top"/>
    </xf>
    <xf numFmtId="0" fontId="5" fillId="0" borderId="4" xfId="6" applyBorder="1" applyProtection="1">
      <protection locked="0"/>
    </xf>
    <xf numFmtId="0" fontId="5" fillId="0" borderId="5" xfId="6" applyBorder="1"/>
    <xf numFmtId="168" fontId="32" fillId="21" borderId="3" xfId="2" applyNumberFormat="1" applyFont="1" applyFill="1" applyBorder="1" applyAlignment="1">
      <alignment horizontal="center" wrapText="1"/>
    </xf>
    <xf numFmtId="2" fontId="8" fillId="27" borderId="10" xfId="2" applyNumberFormat="1" applyFont="1" applyFill="1" applyBorder="1" applyAlignment="1">
      <alignment horizontal="center" wrapText="1"/>
    </xf>
    <xf numFmtId="2" fontId="8" fillId="27" borderId="16" xfId="2" applyNumberFormat="1" applyFont="1" applyFill="1" applyBorder="1" applyAlignment="1">
      <alignment horizontal="center" wrapText="1"/>
    </xf>
    <xf numFmtId="0" fontId="21" fillId="15" borderId="39" xfId="0" applyFont="1" applyFill="1" applyBorder="1" applyAlignment="1">
      <alignment horizontal="center" vertical="center"/>
    </xf>
    <xf numFmtId="0" fontId="21" fillId="15" borderId="57" xfId="0" applyFont="1" applyFill="1" applyBorder="1" applyAlignment="1">
      <alignment horizontal="center" vertical="center"/>
    </xf>
    <xf numFmtId="165" fontId="8" fillId="2" borderId="6" xfId="2" applyFont="1" applyFill="1" applyBorder="1" applyAlignment="1" applyProtection="1">
      <alignment horizontal="center" vertical="center"/>
      <protection locked="0"/>
    </xf>
    <xf numFmtId="165" fontId="8" fillId="2" borderId="7" xfId="2" applyFont="1" applyFill="1" applyBorder="1" applyAlignment="1" applyProtection="1">
      <alignment horizontal="center" vertical="center"/>
      <protection locked="0"/>
    </xf>
    <xf numFmtId="165" fontId="8" fillId="2" borderId="30" xfId="2" applyFont="1" applyFill="1" applyBorder="1" applyAlignment="1" applyProtection="1">
      <alignment horizontal="center" vertical="center"/>
      <protection locked="0"/>
    </xf>
    <xf numFmtId="165" fontId="8" fillId="2" borderId="8" xfId="2" applyFont="1" applyFill="1" applyBorder="1" applyAlignment="1" applyProtection="1">
      <alignment horizontal="center" vertical="center"/>
      <protection locked="0"/>
    </xf>
    <xf numFmtId="165" fontId="8" fillId="2" borderId="9" xfId="2" applyFont="1" applyFill="1" applyBorder="1" applyAlignment="1" applyProtection="1">
      <alignment horizontal="center" vertical="center"/>
      <protection locked="0"/>
    </xf>
    <xf numFmtId="165" fontId="8" fillId="2" borderId="31" xfId="2" applyFont="1" applyFill="1" applyBorder="1" applyAlignment="1" applyProtection="1">
      <alignment horizontal="center" vertical="center"/>
      <protection locked="0"/>
    </xf>
    <xf numFmtId="0" fontId="0" fillId="0" borderId="72" xfId="0" applyBorder="1" applyAlignment="1">
      <alignment horizontal="left" wrapText="1"/>
    </xf>
    <xf numFmtId="0" fontId="13" fillId="8" borderId="1" xfId="0" applyFont="1" applyFill="1" applyBorder="1" applyAlignment="1">
      <alignment horizontal="center" vertical="center" wrapText="1"/>
    </xf>
    <xf numFmtId="0" fontId="9" fillId="9" borderId="10" xfId="0" applyFont="1" applyFill="1" applyBorder="1" applyAlignment="1">
      <alignment horizontal="center" wrapText="1"/>
    </xf>
    <xf numFmtId="0" fontId="9" fillId="9" borderId="15" xfId="0" applyFont="1" applyFill="1" applyBorder="1" applyAlignment="1">
      <alignment horizontal="center" wrapText="1"/>
    </xf>
    <xf numFmtId="0" fontId="9" fillId="9" borderId="16" xfId="0" applyFont="1" applyFill="1" applyBorder="1" applyAlignment="1">
      <alignment horizontal="center" wrapText="1"/>
    </xf>
    <xf numFmtId="1" fontId="10" fillId="11" borderId="10" xfId="0" applyNumberFormat="1" applyFont="1" applyFill="1" applyBorder="1" applyAlignment="1">
      <alignment horizontal="center" vertical="center"/>
    </xf>
    <xf numFmtId="1" fontId="10" fillId="11" borderId="15" xfId="0" applyNumberFormat="1" applyFont="1" applyFill="1" applyBorder="1" applyAlignment="1">
      <alignment horizontal="center" vertical="center"/>
    </xf>
    <xf numFmtId="1" fontId="10" fillId="11" borderId="16" xfId="0" applyNumberFormat="1" applyFont="1" applyFill="1" applyBorder="1" applyAlignment="1">
      <alignment horizontal="center" vertical="center"/>
    </xf>
    <xf numFmtId="0" fontId="7" fillId="11" borderId="10" xfId="0" applyFont="1" applyFill="1" applyBorder="1" applyAlignment="1">
      <alignment horizontal="center"/>
    </xf>
    <xf numFmtId="0" fontId="7" fillId="11" borderId="16" xfId="0" applyFont="1" applyFill="1" applyBorder="1" applyAlignment="1">
      <alignment horizontal="center"/>
    </xf>
    <xf numFmtId="165" fontId="8" fillId="8" borderId="47" xfId="2" applyFont="1" applyFill="1" applyBorder="1" applyAlignment="1">
      <alignment horizontal="center" vertical="top" wrapText="1"/>
    </xf>
    <xf numFmtId="165" fontId="8" fillId="8" borderId="57" xfId="2" applyFont="1" applyFill="1" applyBorder="1" applyAlignment="1">
      <alignment horizontal="center" vertical="top" wrapText="1"/>
    </xf>
    <xf numFmtId="165" fontId="8" fillId="8" borderId="8" xfId="2" applyFont="1" applyFill="1" applyBorder="1" applyAlignment="1">
      <alignment horizontal="center" vertical="center" wrapText="1"/>
    </xf>
    <xf numFmtId="165" fontId="8" fillId="8" borderId="9" xfId="2" applyFont="1" applyFill="1" applyBorder="1" applyAlignment="1">
      <alignment horizontal="center" vertical="center" wrapText="1"/>
    </xf>
    <xf numFmtId="165" fontId="8" fillId="8" borderId="31" xfId="2" applyFont="1" applyFill="1" applyBorder="1" applyAlignment="1">
      <alignment horizontal="center" vertical="center" wrapText="1"/>
    </xf>
    <xf numFmtId="2" fontId="0" fillId="27" borderId="10" xfId="2" applyNumberFormat="1" applyFont="1" applyFill="1" applyBorder="1" applyAlignment="1">
      <alignment horizontal="center" vertical="center" wrapText="1"/>
    </xf>
    <xf numFmtId="2" fontId="8" fillId="27" borderId="16" xfId="2" applyNumberFormat="1" applyFont="1" applyFill="1" applyBorder="1" applyAlignment="1">
      <alignment horizontal="center" vertical="center" wrapText="1"/>
    </xf>
    <xf numFmtId="0" fontId="2" fillId="0" borderId="39" xfId="0" applyFont="1" applyBorder="1" applyAlignment="1">
      <alignment horizontal="left" wrapText="1"/>
    </xf>
    <xf numFmtId="0" fontId="2" fillId="0" borderId="57" xfId="0" applyFont="1" applyBorder="1" applyAlignment="1">
      <alignment horizontal="left" wrapText="1"/>
    </xf>
    <xf numFmtId="173" fontId="2" fillId="0" borderId="39" xfId="0" applyNumberFormat="1" applyFont="1" applyBorder="1" applyAlignment="1">
      <alignment horizontal="center"/>
    </xf>
    <xf numFmtId="173" fontId="2" fillId="0" borderId="57" xfId="0" applyNumberFormat="1" applyFont="1" applyBorder="1" applyAlignment="1">
      <alignment horizontal="center"/>
    </xf>
    <xf numFmtId="0" fontId="41" fillId="13" borderId="0" xfId="0" applyFont="1" applyFill="1" applyAlignment="1">
      <alignment horizontal="center"/>
    </xf>
    <xf numFmtId="0" fontId="0" fillId="0" borderId="39" xfId="0" applyBorder="1" applyAlignment="1">
      <alignment horizontal="center"/>
    </xf>
    <xf numFmtId="0" fontId="0" fillId="0" borderId="57" xfId="0" applyBorder="1" applyAlignment="1">
      <alignment horizontal="center"/>
    </xf>
    <xf numFmtId="0" fontId="0" fillId="0" borderId="0" xfId="0" applyAlignment="1">
      <alignment horizontal="left" vertical="center"/>
    </xf>
    <xf numFmtId="0" fontId="0" fillId="0" borderId="0" xfId="0" applyAlignment="1">
      <alignment horizontal="center"/>
    </xf>
  </cellXfs>
  <cellStyles count="10">
    <cellStyle name="Comma 2" xfId="7" xr:uid="{FE3B5881-446A-4366-9478-B87AF7E6B98B}"/>
    <cellStyle name="Currency" xfId="8" builtinId="4"/>
    <cellStyle name="Excel Built-in Comma" xfId="3" xr:uid="{00000000-0005-0000-0000-000001000000}"/>
    <cellStyle name="Excel Built-in Normal" xfId="2" xr:uid="{00000000-0005-0000-0000-000002000000}"/>
    <cellStyle name="Excel Built-in Percent" xfId="4" xr:uid="{00000000-0005-0000-0000-000003000000}"/>
    <cellStyle name="Normal" xfId="0" builtinId="0"/>
    <cellStyle name="Normal 2" xfId="5" xr:uid="{00000000-0005-0000-0000-000005000000}"/>
    <cellStyle name="Normal 2 2" xfId="9" xr:uid="{2A63D680-CF88-4357-9AA9-02A0F2DE8FB5}"/>
    <cellStyle name="Normal 3" xfId="6" xr:uid="{00000000-0005-0000-0000-000006000000}"/>
    <cellStyle name="Percent" xfId="1" builtinId="5"/>
  </cellStyles>
  <dxfs count="190">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C000"/>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theme="2" tint="-0.749961851863155"/>
      </font>
      <fill>
        <patternFill>
          <bgColor theme="2" tint="-9.9948118533890809E-2"/>
        </patternFill>
      </fill>
    </dxf>
    <dxf>
      <font>
        <b/>
        <i val="0"/>
        <color rgb="FF9C0006"/>
      </font>
      <fill>
        <patternFill>
          <bgColor rgb="FFFFC7CE"/>
        </patternFill>
      </fill>
    </dxf>
    <dxf>
      <font>
        <b/>
        <i val="0"/>
        <color rgb="FF006100"/>
      </font>
      <fill>
        <patternFill>
          <bgColor rgb="FFC6EFCE"/>
        </patternFill>
      </fill>
    </dxf>
    <dxf>
      <font>
        <b/>
        <i val="0"/>
        <color theme="2" tint="-0.749961851863155"/>
      </font>
      <fill>
        <patternFill>
          <bgColor theme="2" tint="-9.9948118533890809E-2"/>
        </patternFill>
      </fill>
    </dxf>
    <dxf>
      <font>
        <b/>
        <i val="0"/>
        <color rgb="FF006100"/>
      </font>
      <fill>
        <patternFill>
          <bgColor rgb="FFC6EFCE"/>
        </patternFill>
      </fill>
    </dxf>
    <dxf>
      <font>
        <b/>
        <i val="0"/>
        <color rgb="FF9C0006"/>
      </font>
      <fill>
        <patternFill>
          <bgColor rgb="FFFFC7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theme="2" tint="-0.749961851863155"/>
      </font>
      <fill>
        <patternFill>
          <bgColor theme="2" tint="-9.9948118533890809E-2"/>
        </patternFill>
      </fill>
    </dxf>
    <dxf>
      <font>
        <b/>
        <i val="0"/>
        <color rgb="FF9C0006"/>
      </font>
      <fill>
        <patternFill>
          <bgColor rgb="FFFFC7CE"/>
        </patternFill>
      </fill>
    </dxf>
    <dxf>
      <font>
        <b/>
        <i val="0"/>
        <color theme="2" tint="-0.749961851863155"/>
      </font>
      <fill>
        <patternFill>
          <bgColor theme="2" tint="-9.9948118533890809E-2"/>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theme="2" tint="-0.749961851863155"/>
      </font>
      <fill>
        <patternFill>
          <bgColor theme="2" tint="-9.9948118533890809E-2"/>
        </patternFill>
      </fill>
    </dxf>
    <dxf>
      <font>
        <b/>
        <i val="0"/>
        <color rgb="FF9C0006"/>
      </font>
      <fill>
        <patternFill>
          <bgColor rgb="FFFFC7CE"/>
        </patternFill>
      </fill>
    </dxf>
    <dxf>
      <font>
        <b/>
        <i val="0"/>
        <color theme="2" tint="-0.749961851863155"/>
      </font>
      <fill>
        <patternFill>
          <bgColor theme="2" tint="-9.9948118533890809E-2"/>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B050"/>
      </font>
    </dxf>
    <dxf>
      <font>
        <b/>
        <i val="0"/>
        <color rgb="FF00B050"/>
      </font>
    </dxf>
    <dxf>
      <font>
        <b val="0"/>
        <i val="0"/>
        <color auto="1"/>
      </font>
      <fill>
        <patternFill>
          <bgColor rgb="FFFF5050"/>
        </patternFill>
      </fill>
    </dxf>
    <dxf>
      <font>
        <b/>
        <i val="0"/>
        <color rgb="FF00B050"/>
      </font>
    </dxf>
    <dxf>
      <font>
        <b/>
        <i val="0"/>
        <color rgb="FF00B050"/>
      </font>
    </dxf>
    <dxf>
      <font>
        <b/>
        <i val="0"/>
        <color rgb="FF00B050"/>
      </font>
    </dxf>
    <dxf>
      <font>
        <b/>
        <i val="0"/>
        <color rgb="FF00B050"/>
      </font>
    </dxf>
    <dxf>
      <font>
        <color rgb="FF006100"/>
      </font>
      <fill>
        <patternFill>
          <bgColor rgb="FFC6EFCE"/>
        </patternFill>
      </fill>
    </dxf>
    <dxf>
      <font>
        <color rgb="FF9C0006"/>
      </font>
      <fill>
        <patternFill>
          <bgColor rgb="FFFFC7CE"/>
        </patternFill>
      </fill>
    </dxf>
    <dxf>
      <font>
        <strike val="0"/>
        <color rgb="FFFF0000"/>
      </font>
      <fill>
        <patternFill patternType="none">
          <bgColor auto="1"/>
        </patternFill>
      </fill>
    </dxf>
    <dxf>
      <font>
        <strike val="0"/>
        <color rgb="FFFF0000"/>
      </font>
      <fill>
        <patternFill patternType="none">
          <bgColor auto="1"/>
        </patternFill>
      </fill>
    </dxf>
    <dxf>
      <font>
        <b/>
        <i val="0"/>
        <color rgb="FFFF0000"/>
      </font>
      <fill>
        <patternFill>
          <bgColor rgb="FFFFFF00"/>
        </patternFill>
      </fill>
    </dxf>
    <dxf>
      <font>
        <strike val="0"/>
        <color rgb="FFFF0000"/>
      </font>
      <fill>
        <patternFill patternType="none">
          <bgColor auto="1"/>
        </patternFill>
      </fill>
    </dxf>
    <dxf>
      <font>
        <b/>
        <i val="0"/>
        <color rgb="FFC00000"/>
      </font>
      <fill>
        <patternFill>
          <bgColor rgb="FFFFCCCC"/>
        </patternFill>
      </fill>
    </dxf>
    <dxf>
      <font>
        <b/>
        <i val="0"/>
        <color rgb="FFC00000"/>
      </font>
      <fill>
        <patternFill>
          <bgColor rgb="FFFFCCCC"/>
        </patternFill>
      </fill>
    </dxf>
    <dxf>
      <font>
        <b val="0"/>
        <i val="0"/>
        <strike val="0"/>
        <condense val="0"/>
        <extend val="0"/>
        <outline val="0"/>
        <shadow val="0"/>
        <u val="none"/>
        <vertAlign val="baseline"/>
        <sz val="11"/>
        <color rgb="FF000000"/>
        <name val="Calibri"/>
        <family val="2"/>
        <scheme val="minor"/>
      </font>
      <numFmt numFmtId="173" formatCode="#,##0.00\ &quot;€&quot;"/>
      <fill>
        <patternFill patternType="solid">
          <fgColor indexed="64"/>
          <bgColor theme="2" tint="-9.9978637043366805E-2"/>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numFmt numFmtId="172" formatCode="0.0000"/>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family val="2"/>
        <scheme val="minor"/>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rgb="FF000000"/>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family val="2"/>
        <scheme val="minor"/>
      </font>
      <numFmt numFmtId="173" formatCode="#,##0.00\ &quot;€&quo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numFmt numFmtId="173" formatCode="#,##0.00\ &quot;€&quot;"/>
      <fill>
        <patternFill patternType="solid">
          <fgColor indexed="64"/>
          <bgColor theme="2" tint="-9.9978637043366805E-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numFmt numFmtId="172" formatCode="0.0000"/>
      <fill>
        <patternFill patternType="solid">
          <fgColor indexed="64"/>
          <bgColor theme="2" tint="-9.9978637043366805E-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3" formatCode="#,##0.00\ &quot;€&quo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2" formatCode="0.00"/>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 formatCode="0"/>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172" formatCode="0.0000"/>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outline="0">
        <left style="medium">
          <color indexed="64"/>
        </left>
        <right style="medium">
          <color indexed="64"/>
        </right>
        <top style="medium">
          <color indexed="64"/>
        </top>
        <bottom style="thin">
          <color rgb="FF000000"/>
        </bottom>
      </border>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rgb="FF000000"/>
        <name val="Calibri"/>
        <family val="2"/>
        <scheme val="minor"/>
      </font>
      <alignment horizontal="center" vertical="top" textRotation="0" wrapText="1" indent="0" justifyLastLine="0" shrinkToFit="0" readingOrder="0"/>
      <border diagonalUp="0" diagonalDown="0" outline="0">
        <left style="thin">
          <color rgb="FF000000"/>
        </left>
        <right style="thin">
          <color rgb="FF000000"/>
        </right>
        <top/>
        <bottom/>
      </border>
    </dxf>
    <dxf>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numFmt numFmtId="0" formatCode="General"/>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ont>
        <b val="0"/>
        <i val="0"/>
        <strike val="0"/>
        <condense val="0"/>
        <extend val="0"/>
        <outline val="0"/>
        <shadow val="0"/>
        <u val="none"/>
        <vertAlign val="baseline"/>
        <sz val="11"/>
        <color theme="0"/>
        <name val="Calibri"/>
        <family val="2"/>
        <scheme val="minor"/>
      </font>
      <fill>
        <patternFill patternType="none">
          <fgColor indexed="64"/>
          <bgColor auto="1"/>
        </patternFill>
      </fill>
    </dxf>
    <dxf>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protection locked="0" hidden="0"/>
    </dxf>
    <dxf>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left" vertical="top" textRotation="0" wrapText="0" indent="0" justifyLastLine="0" shrinkToFit="0" readingOrder="0"/>
    </dxf>
    <dxf>
      <protection locked="0" hidden="0"/>
    </dxf>
    <dxf>
      <protection locked="0" hidden="0"/>
    </dxf>
    <dxf>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protection locked="0" hidden="0"/>
    </dxf>
    <dxf>
      <protection locked="0" hidden="0"/>
    </dxf>
    <dxf>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30" formatCode="@"/>
      <alignment horizontal="left" vertical="top" textRotation="0" wrapText="0" indent="0" justifyLastLine="0" shrinkToFit="0" readingOrder="0"/>
      <protection locked="0" hidden="0"/>
    </dxf>
    <dxf>
      <numFmt numFmtId="30" formatCode="@"/>
      <alignment horizontal="left" vertical="top" textRotation="0" wrapText="0" indent="0" justifyLastLine="0" shrinkToFit="0" readingOrder="0"/>
      <protection locked="0" hidden="0"/>
    </dxf>
    <dxf>
      <numFmt numFmtId="30" formatCode="@"/>
      <alignment horizontal="left" vertical="top" textRotation="0" wrapText="0" indent="0" justifyLastLine="0" shrinkToFit="0" readingOrder="0"/>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protection locked="0" hidden="0"/>
    </dxf>
    <dxf>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protection locked="0" hidden="0"/>
    </dxf>
    <dxf>
      <protection locked="0" hidden="0"/>
    </dxf>
    <dxf>
      <protection locked="0" hidden="0"/>
    </dxf>
    <dxf>
      <protection locked="0" hidden="0"/>
    </dxf>
    <dxf>
      <font>
        <b/>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protection locked="0" hidden="0"/>
    </dxf>
    <dxf>
      <numFmt numFmtId="14" formatCode="0.00%"/>
      <protection locked="0" hidden="0"/>
    </dxf>
    <dxf>
      <numFmt numFmtId="14" formatCode="0.00%"/>
      <protection locked="0" hidden="0"/>
    </dxf>
    <dxf>
      <protection locked="0" hidden="0"/>
    </dxf>
    <dxf>
      <protection locked="0" hidden="0"/>
    </dxf>
    <dxf>
      <protection locked="0" hidden="0"/>
    </dxf>
    <dxf>
      <font>
        <b/>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4" formatCode="0.00%"/>
      <protection locked="0" hidden="0"/>
    </dxf>
    <dxf>
      <protection locked="0" hidden="0"/>
    </dxf>
    <dxf>
      <protection locked="0" hidden="0"/>
    </dxf>
    <dxf>
      <font>
        <b/>
      </font>
      <alignment horizontal="left" vertical="top" textRotation="0" wrapText="0" indent="0" justifyLastLine="0" shrinkToFit="0" readingOrder="0"/>
      <protection locked="0" hidden="0"/>
    </dxf>
    <dxf>
      <protection locked="0" hidden="0"/>
    </dxf>
    <dxf>
      <alignment horizontal="left" vertical="bottom" textRotation="0" wrapText="0" indent="0" justifyLastLine="0" shrinkToFit="0" readingOrder="0"/>
      <protection locked="0" hidden="0"/>
    </dxf>
    <dxf>
      <protection locked="0" hidden="0"/>
    </dxf>
    <dxf>
      <font>
        <b/>
      </font>
      <alignment horizontal="left" vertical="top" textRotation="0" wrapText="0"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dxf>
    <dxf>
      <font>
        <strike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dxf>
  </dxfs>
  <tableStyles count="1" defaultTableStyle="TableStyleMedium2" defaultPivotStyle="PivotStyleLight16">
    <tableStyle name="Invisible" pivot="0" table="0" count="0" xr9:uid="{E8D8F9E1-41CF-4A35-B49C-3B23F7C84B26}"/>
  </tableStyles>
  <colors>
    <mruColors>
      <color rgb="FFFFCCCC"/>
      <color rgb="FFFF5050"/>
      <color rgb="FFFF9999"/>
      <color rgb="FFFFFF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561975</xdr:colOff>
      <xdr:row>24</xdr:row>
      <xdr:rowOff>0</xdr:rowOff>
    </xdr:from>
    <xdr:to>
      <xdr:col>1</xdr:col>
      <xdr:colOff>676274</xdr:colOff>
      <xdr:row>37</xdr:row>
      <xdr:rowOff>180975</xdr:rowOff>
    </xdr:to>
    <xdr:sp macro="" textlink="">
      <xdr:nvSpPr>
        <xdr:cNvPr id="2" name="Rectangle 1">
          <a:extLst>
            <a:ext uri="{FF2B5EF4-FFF2-40B4-BE49-F238E27FC236}">
              <a16:creationId xmlns:a16="http://schemas.microsoft.com/office/drawing/2014/main" id="{00000000-0008-0000-0400-000002000000}"/>
            </a:ext>
          </a:extLst>
        </xdr:cNvPr>
        <xdr:cNvSpPr/>
      </xdr:nvSpPr>
      <xdr:spPr>
        <a:xfrm>
          <a:off x="561975" y="4714875"/>
          <a:ext cx="904874" cy="2657475"/>
        </a:xfrm>
        <a:prstGeom prst="wedgeRectCallout">
          <a:avLst>
            <a:gd name="adj1" fmla="val -28830"/>
            <a:gd name="adj2" fmla="val -14775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a:solidFill>
                <a:sysClr val="windowText" lastClr="000000"/>
              </a:solidFill>
            </a:rPr>
            <a:t>Introduire les </a:t>
          </a:r>
          <a:r>
            <a:rPr lang="fr-FR" sz="1100" b="1">
              <a:solidFill>
                <a:sysClr val="windowText" lastClr="000000"/>
              </a:solidFill>
            </a:rPr>
            <a:t>dates des périodes </a:t>
          </a:r>
          <a:r>
            <a:rPr lang="fr-FR" sz="1100">
              <a:solidFill>
                <a:sysClr val="windowText" lastClr="000000"/>
              </a:solidFill>
            </a:rPr>
            <a:t>:</a:t>
          </a:r>
        </a:p>
        <a:p>
          <a:pPr algn="l"/>
          <a:r>
            <a:rPr lang="fr-FR" sz="1100">
              <a:solidFill>
                <a:sysClr val="windowText" lastClr="000000"/>
              </a:solidFill>
            </a:rPr>
            <a:t>attention les </a:t>
          </a:r>
          <a:r>
            <a:rPr lang="fr-FR" sz="1100" baseline="0">
              <a:solidFill>
                <a:sysClr val="windowText" lastClr="000000"/>
              </a:solidFill>
            </a:rPr>
            <a:t> périodes doivent impératiment se suivre , ne pas se recouper et couvrir toute l'année.</a:t>
          </a:r>
          <a:endParaRPr lang="fr-FR" sz="1100">
            <a:solidFill>
              <a:sysClr val="windowText" lastClr="000000"/>
            </a:solidFill>
          </a:endParaRPr>
        </a:p>
      </xdr:txBody>
    </xdr:sp>
    <xdr:clientData/>
  </xdr:twoCellAnchor>
  <xdr:twoCellAnchor>
    <xdr:from>
      <xdr:col>1</xdr:col>
      <xdr:colOff>742949</xdr:colOff>
      <xdr:row>26</xdr:row>
      <xdr:rowOff>29442</xdr:rowOff>
    </xdr:from>
    <xdr:to>
      <xdr:col>3</xdr:col>
      <xdr:colOff>457199</xdr:colOff>
      <xdr:row>37</xdr:row>
      <xdr:rowOff>88363</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1533524" y="5125317"/>
          <a:ext cx="1295400" cy="2154421"/>
        </a:xfrm>
        <a:prstGeom prst="wedgeRectCallout">
          <a:avLst>
            <a:gd name="adj1" fmla="val -1075"/>
            <a:gd name="adj2" fmla="val -124583"/>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a:solidFill>
                <a:sysClr val="windowText" lastClr="000000"/>
              </a:solidFill>
            </a:rPr>
            <a:t>Le</a:t>
          </a:r>
          <a:r>
            <a:rPr lang="fr-FR" sz="1100" baseline="0">
              <a:solidFill>
                <a:sysClr val="windowText" lastClr="000000"/>
              </a:solidFill>
            </a:rPr>
            <a:t> </a:t>
          </a:r>
          <a:r>
            <a:rPr lang="fr-FR" sz="1100" b="1" baseline="0">
              <a:solidFill>
                <a:sysClr val="windowText" lastClr="000000"/>
              </a:solidFill>
            </a:rPr>
            <a:t>total des jours </a:t>
          </a:r>
          <a:r>
            <a:rPr lang="fr-FR" sz="1100" baseline="0">
              <a:solidFill>
                <a:sysClr val="windowText" lastClr="000000"/>
              </a:solidFill>
            </a:rPr>
            <a:t>de la période doit être impérativement égal aux nombres de jours de l'année</a:t>
          </a:r>
        </a:p>
        <a:p>
          <a:pPr algn="l"/>
          <a:endParaRPr lang="fr-FR" sz="1100">
            <a:solidFill>
              <a:sysClr val="windowText" lastClr="000000"/>
            </a:solidFill>
          </a:endParaRPr>
        </a:p>
      </xdr:txBody>
    </xdr:sp>
    <xdr:clientData/>
  </xdr:twoCellAnchor>
  <xdr:twoCellAnchor>
    <xdr:from>
      <xdr:col>3</xdr:col>
      <xdr:colOff>523005</xdr:colOff>
      <xdr:row>26</xdr:row>
      <xdr:rowOff>20784</xdr:rowOff>
    </xdr:from>
    <xdr:to>
      <xdr:col>11</xdr:col>
      <xdr:colOff>419100</xdr:colOff>
      <xdr:row>37</xdr:row>
      <xdr:rowOff>90317</xdr:rowOff>
    </xdr:to>
    <xdr:grpSp>
      <xdr:nvGrpSpPr>
        <xdr:cNvPr id="4" name="Groupe 3">
          <a:extLst>
            <a:ext uri="{FF2B5EF4-FFF2-40B4-BE49-F238E27FC236}">
              <a16:creationId xmlns:a16="http://schemas.microsoft.com/office/drawing/2014/main" id="{00000000-0008-0000-0400-000004000000}"/>
            </a:ext>
          </a:extLst>
        </xdr:cNvPr>
        <xdr:cNvGrpSpPr/>
      </xdr:nvGrpSpPr>
      <xdr:grpSpPr>
        <a:xfrm>
          <a:off x="2969025" y="4920444"/>
          <a:ext cx="6418815" cy="2081213"/>
          <a:chOff x="2839184" y="3771900"/>
          <a:chExt cx="5562601" cy="1417320"/>
        </a:xfrm>
      </xdr:grpSpPr>
      <xdr:sp macro="" textlink="">
        <xdr:nvSpPr>
          <xdr:cNvPr id="5" name="Rectangle 4">
            <a:extLst>
              <a:ext uri="{FF2B5EF4-FFF2-40B4-BE49-F238E27FC236}">
                <a16:creationId xmlns:a16="http://schemas.microsoft.com/office/drawing/2014/main" id="{00000000-0008-0000-0400-000005000000}"/>
              </a:ext>
            </a:extLst>
          </xdr:cNvPr>
          <xdr:cNvSpPr/>
        </xdr:nvSpPr>
        <xdr:spPr>
          <a:xfrm>
            <a:off x="2847975" y="3771900"/>
            <a:ext cx="981075" cy="1409700"/>
          </a:xfrm>
          <a:prstGeom prst="wedgeRectCallout">
            <a:avLst>
              <a:gd name="adj1" fmla="val -43652"/>
              <a:gd name="adj2" fmla="val -194647"/>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6" name="Rectangle 5">
            <a:extLst>
              <a:ext uri="{FF2B5EF4-FFF2-40B4-BE49-F238E27FC236}">
                <a16:creationId xmlns:a16="http://schemas.microsoft.com/office/drawing/2014/main" id="{00000000-0008-0000-0400-000006000000}"/>
              </a:ext>
            </a:extLst>
          </xdr:cNvPr>
          <xdr:cNvSpPr/>
        </xdr:nvSpPr>
        <xdr:spPr>
          <a:xfrm>
            <a:off x="2839184" y="3779520"/>
            <a:ext cx="5562601" cy="14097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fr-FR" sz="1100" b="1">
                <a:solidFill>
                  <a:sysClr val="windowText" lastClr="000000"/>
                </a:solidFill>
                <a:effectLst/>
                <a:latin typeface="+mn-lt"/>
                <a:ea typeface="+mn-ea"/>
                <a:cs typeface="+mn-cs"/>
              </a:rPr>
              <a:t>Tâche</a:t>
            </a:r>
            <a:r>
              <a:rPr lang="fr-FR" sz="1100" b="1" baseline="0">
                <a:solidFill>
                  <a:sysClr val="windowText" lastClr="000000"/>
                </a:solidFill>
                <a:effectLst/>
                <a:latin typeface="+mn-lt"/>
                <a:ea typeface="+mn-ea"/>
                <a:cs typeface="+mn-cs"/>
              </a:rPr>
              <a:t> </a:t>
            </a:r>
            <a:r>
              <a:rPr lang="fr-FR" sz="1100" b="1">
                <a:solidFill>
                  <a:sysClr val="windowText" lastClr="000000"/>
                </a:solidFill>
                <a:effectLst/>
                <a:latin typeface="+mn-lt"/>
                <a:ea typeface="+mn-ea"/>
                <a:cs typeface="+mn-cs"/>
              </a:rPr>
              <a:t>:</a:t>
            </a:r>
            <a:r>
              <a:rPr lang="fr-FR" sz="1100" b="1" baseline="0">
                <a:solidFill>
                  <a:sysClr val="windowText" lastClr="000000"/>
                </a:solidFill>
                <a:effectLst/>
                <a:latin typeface="+mn-lt"/>
                <a:ea typeface="+mn-ea"/>
                <a:cs typeface="+mn-cs"/>
              </a:rPr>
              <a:t> </a:t>
            </a:r>
            <a:r>
              <a:rPr lang="fr-FR" sz="1100" baseline="0">
                <a:solidFill>
                  <a:sysClr val="windowText" lastClr="000000"/>
                </a:solidFill>
                <a:effectLst/>
                <a:latin typeface="+mn-lt"/>
                <a:ea typeface="+mn-ea"/>
                <a:cs typeface="+mn-cs"/>
              </a:rPr>
              <a:t> à introduire obligatoirement</a:t>
            </a:r>
            <a:endParaRPr lang="fr-FR">
              <a:solidFill>
                <a:sysClr val="windowText" lastClr="000000"/>
              </a:solidFill>
              <a:effectLst/>
            </a:endParaRPr>
          </a:p>
          <a:p>
            <a:r>
              <a:rPr lang="fr-FR" sz="1100" b="0" baseline="0">
                <a:solidFill>
                  <a:sysClr val="windowText" lastClr="000000"/>
                </a:solidFill>
                <a:effectLst/>
                <a:latin typeface="+mn-lt"/>
                <a:ea typeface="+mn-ea"/>
                <a:cs typeface="+mn-cs"/>
              </a:rPr>
              <a:t>100%</a:t>
            </a:r>
            <a:r>
              <a:rPr lang="fr-FR" sz="1100" b="1" baseline="0">
                <a:solidFill>
                  <a:sysClr val="windowText" lastClr="000000"/>
                </a:solidFill>
                <a:effectLst/>
                <a:latin typeface="+mn-lt"/>
                <a:ea typeface="+mn-ea"/>
                <a:cs typeface="+mn-cs"/>
              </a:rPr>
              <a:t> </a:t>
            </a:r>
            <a:r>
              <a:rPr lang="fr-FR" sz="1100" baseline="0">
                <a:solidFill>
                  <a:sysClr val="windowText" lastClr="000000"/>
                </a:solidFill>
                <a:effectLst/>
                <a:latin typeface="+mn-lt"/>
                <a:ea typeface="+mn-ea"/>
                <a:cs typeface="+mn-cs"/>
              </a:rPr>
              <a:t>= </a:t>
            </a:r>
            <a:r>
              <a:rPr lang="fr-FR" sz="1100" b="1" baseline="0">
                <a:solidFill>
                  <a:sysClr val="windowText" lastClr="000000"/>
                </a:solidFill>
                <a:effectLst/>
                <a:latin typeface="+mn-lt"/>
                <a:ea typeface="+mn-ea"/>
                <a:cs typeface="+mn-cs"/>
              </a:rPr>
              <a:t>1</a:t>
            </a:r>
            <a:r>
              <a:rPr lang="fr-FR" sz="1100" baseline="0">
                <a:solidFill>
                  <a:sysClr val="windowText" lastClr="000000"/>
                </a:solidFill>
                <a:effectLst/>
                <a:latin typeface="+mn-lt"/>
                <a:ea typeface="+mn-ea"/>
                <a:cs typeface="+mn-cs"/>
              </a:rPr>
              <a:t> = temps plein  //  </a:t>
            </a:r>
            <a:r>
              <a:rPr lang="fr-FR" sz="1100" b="0" baseline="0">
                <a:solidFill>
                  <a:sysClr val="windowText" lastClr="000000"/>
                </a:solidFill>
                <a:effectLst/>
                <a:latin typeface="+mn-lt"/>
                <a:ea typeface="+mn-ea"/>
                <a:cs typeface="+mn-cs"/>
              </a:rPr>
              <a:t>50% = </a:t>
            </a:r>
            <a:r>
              <a:rPr lang="fr-FR" sz="1100" b="1" baseline="0">
                <a:solidFill>
                  <a:sysClr val="windowText" lastClr="000000"/>
                </a:solidFill>
                <a:effectLst/>
                <a:latin typeface="+mn-lt"/>
                <a:ea typeface="+mn-ea"/>
                <a:cs typeface="+mn-cs"/>
              </a:rPr>
              <a:t>0,5 </a:t>
            </a:r>
            <a:r>
              <a:rPr lang="fr-FR" sz="1100" baseline="0">
                <a:solidFill>
                  <a:sysClr val="windowText" lastClr="000000"/>
                </a:solidFill>
                <a:effectLst/>
                <a:latin typeface="+mn-lt"/>
                <a:ea typeface="+mn-ea"/>
                <a:cs typeface="+mn-cs"/>
              </a:rPr>
              <a:t>= mi-temps //  </a:t>
            </a:r>
            <a:r>
              <a:rPr lang="fr-FR" sz="1100" b="0" baseline="0">
                <a:solidFill>
                  <a:sysClr val="windowText" lastClr="000000"/>
                </a:solidFill>
                <a:effectLst/>
                <a:latin typeface="+mn-lt"/>
                <a:ea typeface="+mn-ea"/>
                <a:cs typeface="+mn-cs"/>
              </a:rPr>
              <a:t>75% = 0,75</a:t>
            </a:r>
            <a:r>
              <a:rPr lang="fr-FR" sz="1100" b="1" baseline="0">
                <a:solidFill>
                  <a:sysClr val="windowText" lastClr="000000"/>
                </a:solidFill>
                <a:effectLst/>
                <a:latin typeface="+mn-lt"/>
                <a:ea typeface="+mn-ea"/>
                <a:cs typeface="+mn-cs"/>
              </a:rPr>
              <a:t> </a:t>
            </a:r>
            <a:r>
              <a:rPr lang="fr-FR" sz="1100" baseline="0">
                <a:solidFill>
                  <a:sysClr val="windowText" lastClr="000000"/>
                </a:solidFill>
                <a:effectLst/>
                <a:latin typeface="+mn-lt"/>
                <a:ea typeface="+mn-ea"/>
                <a:cs typeface="+mn-cs"/>
              </a:rPr>
              <a:t>= 3/4 de temps ; </a:t>
            </a:r>
          </a:p>
          <a:p>
            <a:r>
              <a:rPr lang="fr-FR" sz="1100" baseline="0">
                <a:solidFill>
                  <a:sysClr val="windowText" lastClr="000000"/>
                </a:solidFill>
                <a:effectLst/>
                <a:latin typeface="+mn-lt"/>
                <a:ea typeface="+mn-ea"/>
                <a:cs typeface="+mn-cs"/>
              </a:rPr>
              <a:t>autres possibilités par exemple : 22h par semaine soit 22/40 (CCT SAS) : </a:t>
            </a:r>
            <a:r>
              <a:rPr lang="fr-FR" sz="1100" b="1" baseline="0">
                <a:solidFill>
                  <a:sysClr val="windowText" lastClr="000000"/>
                </a:solidFill>
                <a:effectLst/>
                <a:latin typeface="+mn-lt"/>
                <a:ea typeface="+mn-ea"/>
                <a:cs typeface="+mn-cs"/>
              </a:rPr>
              <a:t>55% </a:t>
            </a:r>
            <a:r>
              <a:rPr lang="fr-FR" sz="1050" b="0" baseline="0">
                <a:solidFill>
                  <a:sysClr val="windowText" lastClr="000000"/>
                </a:solidFill>
                <a:effectLst/>
                <a:latin typeface="+mn-lt"/>
                <a:ea typeface="+mn-ea"/>
                <a:cs typeface="+mn-cs"/>
              </a:rPr>
              <a:t>(22x100/40) = 0,55</a:t>
            </a:r>
          </a:p>
          <a:p>
            <a:r>
              <a:rPr lang="fr-FR" sz="1050" b="0">
                <a:solidFill>
                  <a:sysClr val="windowText" lastClr="000000"/>
                </a:solidFill>
                <a:effectLst/>
              </a:rPr>
              <a:t>                                                              </a:t>
            </a:r>
            <a:r>
              <a:rPr lang="fr-FR" sz="1100" b="0">
                <a:solidFill>
                  <a:sysClr val="windowText" lastClr="000000"/>
                </a:solidFill>
                <a:effectLst/>
              </a:rPr>
              <a:t>22h par semaine soit 22/38 (CCT EHL) : </a:t>
            </a:r>
            <a:r>
              <a:rPr lang="fr-FR" sz="1100" b="1">
                <a:solidFill>
                  <a:sysClr val="windowText" lastClr="000000"/>
                </a:solidFill>
                <a:effectLst/>
              </a:rPr>
              <a:t>57,89% </a:t>
            </a:r>
            <a:r>
              <a:rPr lang="fr-FR" sz="1100" b="0">
                <a:solidFill>
                  <a:sysClr val="windowText" lastClr="000000"/>
                </a:solidFill>
                <a:effectLst/>
              </a:rPr>
              <a:t>(</a:t>
            </a:r>
            <a:r>
              <a:rPr lang="fr-FR" sz="1050" b="0">
                <a:solidFill>
                  <a:sysClr val="windowText" lastClr="000000"/>
                </a:solidFill>
                <a:effectLst/>
              </a:rPr>
              <a:t>22x100/38) = 0,5789</a:t>
            </a:r>
          </a:p>
          <a:p>
            <a:r>
              <a:rPr lang="fr-FR" sz="1100" b="1" baseline="0">
                <a:solidFill>
                  <a:sysClr val="windowText" lastClr="000000"/>
                </a:solidFill>
                <a:effectLst/>
                <a:latin typeface="+mn-lt"/>
                <a:ea typeface="+mn-ea"/>
                <a:cs typeface="+mn-cs"/>
              </a:rPr>
              <a:t>0% </a:t>
            </a:r>
            <a:r>
              <a:rPr lang="fr-FR" sz="1100" baseline="0">
                <a:solidFill>
                  <a:sysClr val="windowText" lastClr="000000"/>
                </a:solidFill>
                <a:effectLst/>
                <a:latin typeface="+mn-lt"/>
                <a:ea typeface="+mn-ea"/>
                <a:cs typeface="+mn-cs"/>
              </a:rPr>
              <a:t>= 0 = période où la personne  est absente </a:t>
            </a:r>
            <a:endParaRPr lang="fr-FR">
              <a:solidFill>
                <a:sysClr val="windowText" lastClr="000000"/>
              </a:solidFill>
              <a:effectLst/>
            </a:endParaRPr>
          </a:p>
          <a:p>
            <a:r>
              <a:rPr lang="fr-FR" sz="1100" baseline="0">
                <a:solidFill>
                  <a:sysClr val="windowText" lastClr="000000"/>
                </a:solidFill>
                <a:effectLst/>
                <a:latin typeface="+mn-lt"/>
                <a:ea typeface="+mn-ea"/>
                <a:cs typeface="+mn-cs"/>
              </a:rPr>
              <a:t>( longue maladie &gt;77 jours, congés parentaux, sans solde, maternité, dispense etc..)</a:t>
            </a:r>
            <a:endParaRPr lang="fr-FR">
              <a:solidFill>
                <a:sysClr val="windowText" lastClr="000000"/>
              </a:solidFill>
              <a:effectLst/>
            </a:endParaRPr>
          </a:p>
          <a:p>
            <a:r>
              <a:rPr lang="fr-FR" sz="1100" b="1">
                <a:solidFill>
                  <a:sysClr val="windowText" lastClr="000000"/>
                </a:solidFill>
                <a:effectLst/>
                <a:latin typeface="+mn-lt"/>
                <a:ea typeface="+mn-ea"/>
                <a:cs typeface="+mn-cs"/>
              </a:rPr>
              <a:t>0%</a:t>
            </a:r>
            <a:r>
              <a:rPr lang="fr-FR" sz="1100" b="1" baseline="0">
                <a:solidFill>
                  <a:sysClr val="windowText" lastClr="000000"/>
                </a:solidFill>
                <a:effectLst/>
                <a:latin typeface="+mn-lt"/>
                <a:ea typeface="+mn-ea"/>
                <a:cs typeface="+mn-cs"/>
              </a:rPr>
              <a:t> = période où le salarié ne fait pas encore ou plus partie de l'entreprise</a:t>
            </a:r>
            <a:endParaRPr lang="fr-FR">
              <a:solidFill>
                <a:sysClr val="windowText" lastClr="000000"/>
              </a:solidFill>
              <a:effectLst/>
            </a:endParaRPr>
          </a:p>
          <a:p>
            <a:r>
              <a:rPr lang="fr-FR" sz="1100" b="1" baseline="0">
                <a:solidFill>
                  <a:sysClr val="windowText" lastClr="000000"/>
                </a:solidFill>
                <a:effectLst/>
                <a:latin typeface="+mn-lt"/>
                <a:ea typeface="+mn-ea"/>
                <a:cs typeface="+mn-cs"/>
              </a:rPr>
              <a:t> ex: Mme X est engagée le 1er Juin en 3/4 temps </a:t>
            </a:r>
            <a:endParaRPr lang="fr-FR">
              <a:solidFill>
                <a:sysClr val="windowText" lastClr="000000"/>
              </a:solidFill>
              <a:effectLst/>
            </a:endParaRPr>
          </a:p>
          <a:p>
            <a:r>
              <a:rPr lang="fr-FR" sz="1100" b="1" baseline="0">
                <a:solidFill>
                  <a:sysClr val="windowText" lastClr="000000"/>
                </a:solidFill>
                <a:effectLst/>
                <a:latin typeface="+mn-lt"/>
                <a:ea typeface="+mn-ea"/>
                <a:cs typeface="+mn-cs"/>
              </a:rPr>
              <a:t>         -&gt; du 01 jan au 31 mai tâche: 0%, le reste de l'année tâche  :75% : ETP = 0,44</a:t>
            </a:r>
            <a:endParaRPr lang="fr-FR">
              <a:solidFill>
                <a:sysClr val="windowText" lastClr="000000"/>
              </a:solidFill>
              <a:effectLst/>
            </a:endParaRPr>
          </a:p>
          <a:p>
            <a:pPr algn="l"/>
            <a:endParaRPr lang="fr-FR" sz="1100" b="1">
              <a:solidFill>
                <a:sysClr val="windowText" lastClr="000000"/>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1019173</xdr:colOff>
      <xdr:row>10</xdr:row>
      <xdr:rowOff>189939</xdr:rowOff>
    </xdr:from>
    <xdr:to>
      <xdr:col>6</xdr:col>
      <xdr:colOff>390524</xdr:colOff>
      <xdr:row>15</xdr:row>
      <xdr:rowOff>75079</xdr:rowOff>
    </xdr:to>
    <xdr:sp macro="" textlink="">
      <xdr:nvSpPr>
        <xdr:cNvPr id="2" name="Rectangle 1">
          <a:extLst>
            <a:ext uri="{FF2B5EF4-FFF2-40B4-BE49-F238E27FC236}">
              <a16:creationId xmlns:a16="http://schemas.microsoft.com/office/drawing/2014/main" id="{00000000-0008-0000-0700-000002000000}"/>
            </a:ext>
          </a:extLst>
        </xdr:cNvPr>
        <xdr:cNvSpPr/>
      </xdr:nvSpPr>
      <xdr:spPr>
        <a:xfrm>
          <a:off x="8809502" y="3085539"/>
          <a:ext cx="2598646" cy="987799"/>
        </a:xfrm>
        <a:prstGeom prst="wedgeRectCallout">
          <a:avLst>
            <a:gd name="adj1" fmla="val -89861"/>
            <a:gd name="adj2" fmla="val -1437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a:solidFill>
                <a:sysClr val="windowText" lastClr="000000"/>
              </a:solidFill>
            </a:rPr>
            <a:t>Il s'agit de faire le total</a:t>
          </a:r>
          <a:r>
            <a:rPr lang="fr-FR" sz="1100" baseline="0">
              <a:solidFill>
                <a:sysClr val="windowText" lastClr="000000"/>
              </a:solidFill>
            </a:rPr>
            <a:t> des heures de formations ET de supervisions dispensées</a:t>
          </a:r>
          <a:r>
            <a:rPr lang="fr-FR" sz="1100" baseline="0">
              <a:solidFill>
                <a:schemeClr val="tx1"/>
              </a:solidFill>
            </a:rPr>
            <a:t> </a:t>
          </a:r>
          <a:r>
            <a:rPr lang="fr-FR" sz="1100" baseline="0">
              <a:solidFill>
                <a:schemeClr val="tx1"/>
              </a:solidFill>
              <a:effectLst/>
              <a:latin typeface="+mn-lt"/>
              <a:ea typeface="+mn-ea"/>
              <a:cs typeface="+mn-cs"/>
            </a:rPr>
            <a:t>à l'ensemble </a:t>
          </a:r>
          <a:r>
            <a:rPr lang="fr-FR" sz="1100" baseline="0">
              <a:solidFill>
                <a:sysClr val="windowText" lastClr="000000"/>
              </a:solidFill>
            </a:rPr>
            <a:t>du personnel d'encadrement sur l'année considérée</a:t>
          </a:r>
        </a:p>
      </xdr:txBody>
    </xdr:sp>
    <xdr:clientData/>
  </xdr:twoCellAnchor>
  <xdr:twoCellAnchor>
    <xdr:from>
      <xdr:col>6</xdr:col>
      <xdr:colOff>352425</xdr:colOff>
      <xdr:row>27</xdr:row>
      <xdr:rowOff>9525</xdr:rowOff>
    </xdr:from>
    <xdr:to>
      <xdr:col>6</xdr:col>
      <xdr:colOff>561975</xdr:colOff>
      <xdr:row>30</xdr:row>
      <xdr:rowOff>0</xdr:rowOff>
    </xdr:to>
    <xdr:sp macro="" textlink="">
      <xdr:nvSpPr>
        <xdr:cNvPr id="3" name="Accolade fermante 2">
          <a:extLst>
            <a:ext uri="{FF2B5EF4-FFF2-40B4-BE49-F238E27FC236}">
              <a16:creationId xmlns:a16="http://schemas.microsoft.com/office/drawing/2014/main" id="{00000000-0008-0000-0700-000003000000}"/>
            </a:ext>
          </a:extLst>
        </xdr:cNvPr>
        <xdr:cNvSpPr/>
      </xdr:nvSpPr>
      <xdr:spPr>
        <a:xfrm>
          <a:off x="7277100" y="1647825"/>
          <a:ext cx="209550" cy="561975"/>
        </a:xfrm>
        <a:prstGeom prst="rightBrace">
          <a:avLst>
            <a:gd name="adj1" fmla="val 18859"/>
            <a:gd name="adj2" fmla="val 48361"/>
          </a:avLst>
        </a:prstGeom>
        <a:ln w="28575">
          <a:solidFill>
            <a:schemeClr val="accent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600075</xdr:colOff>
      <xdr:row>23</xdr:row>
      <xdr:rowOff>114300</xdr:rowOff>
    </xdr:from>
    <xdr:to>
      <xdr:col>21</xdr:col>
      <xdr:colOff>209550</xdr:colOff>
      <xdr:row>28</xdr:row>
      <xdr:rowOff>95250</xdr:rowOff>
    </xdr:to>
    <xdr:sp macro="" textlink="">
      <xdr:nvSpPr>
        <xdr:cNvPr id="2" name="TextBox 1">
          <a:extLst>
            <a:ext uri="{FF2B5EF4-FFF2-40B4-BE49-F238E27FC236}">
              <a16:creationId xmlns:a16="http://schemas.microsoft.com/office/drawing/2014/main" id="{33DEC78D-5FC0-4CAD-AE7F-0B0FDE80610C}"/>
            </a:ext>
          </a:extLst>
        </xdr:cNvPr>
        <xdr:cNvSpPr txBox="1"/>
      </xdr:nvSpPr>
      <xdr:spPr>
        <a:xfrm>
          <a:off x="10563225" y="5410200"/>
          <a:ext cx="2657475"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b-LU" sz="1100" baseline="0"/>
            <a:t>Signature :</a:t>
          </a:r>
          <a:endParaRPr lang="lb-LU"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600075</xdr:colOff>
      <xdr:row>26</xdr:row>
      <xdr:rowOff>114300</xdr:rowOff>
    </xdr:from>
    <xdr:to>
      <xdr:col>22</xdr:col>
      <xdr:colOff>28575</xdr:colOff>
      <xdr:row>31</xdr:row>
      <xdr:rowOff>0</xdr:rowOff>
    </xdr:to>
    <xdr:sp macro="" textlink="">
      <xdr:nvSpPr>
        <xdr:cNvPr id="2" name="TextBox 1">
          <a:extLst>
            <a:ext uri="{FF2B5EF4-FFF2-40B4-BE49-F238E27FC236}">
              <a16:creationId xmlns:a16="http://schemas.microsoft.com/office/drawing/2014/main" id="{806E752E-3F18-41F3-8BC9-971C0D4FDA0B}"/>
            </a:ext>
          </a:extLst>
        </xdr:cNvPr>
        <xdr:cNvSpPr txBox="1"/>
      </xdr:nvSpPr>
      <xdr:spPr>
        <a:xfrm>
          <a:off x="10331450" y="6130925"/>
          <a:ext cx="3048000" cy="1044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b-LU" sz="1100" baseline="0"/>
            <a:t>Signature :</a:t>
          </a:r>
          <a:endParaRPr lang="lb-LU" sz="1100"/>
        </a:p>
      </xdr:txBody>
    </xdr:sp>
    <xdr:clientData/>
  </xdr:twoCellAnchor>
</xdr:wsDr>
</file>

<file path=xl/persons/person.xml><?xml version="1.0" encoding="utf-8"?>
<personList xmlns="http://schemas.microsoft.com/office/spreadsheetml/2018/threadedcomments" xmlns:x="http://schemas.openxmlformats.org/spreadsheetml/2006/main">
  <person displayName="Youssef El Bertali" id="{2C0C59AB-87C1-4FDB-9AF2-6B135B504B70}" userId="S::youssef.elbertali@fedas.lu::d7ef4f5a-71ba-49c3-9655-63179a2667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C4AF31-CC19-4C3F-A55D-784D47940812}" name="Table1" displayName="Table1" ref="D3:E7" totalsRowShown="0" headerRowDxfId="183" dataDxfId="182">
  <autoFilter ref="D3:E7" xr:uid="{EFC4AF31-CC19-4C3F-A55D-784D47940812}"/>
  <tableColumns count="2">
    <tableColumn id="1" xr3:uid="{07641480-93E2-4901-AB80-35573796766B}" name="Libellé" dataDxfId="181"/>
    <tableColumn id="2" xr3:uid="{81B256F2-8EF2-44F4-8D78-C0C25ED6C641}" name="Taux" dataDxfId="180"/>
  </tableColumns>
  <tableStyleInfo name="TableStyleDark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65B893C-EAB9-4ED0-8D5E-EE9E8D6FE8B0}" name="Table1013" displayName="Table1013" ref="T3:T7" totalsRowShown="0" headerRowDxfId="142" dataDxfId="141">
  <autoFilter ref="T3:T7" xr:uid="{C65B893C-EAB9-4ED0-8D5E-EE9E8D6FE8B0}"/>
  <tableColumns count="1">
    <tableColumn id="1" xr3:uid="{68B30786-E6D0-4CD7-98DA-FB0E158AFFB5}" name="Type de personnel bis" dataDxfId="140"/>
  </tableColumns>
  <tableStyleInfo name="TableStyleMedium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968F538-0318-4209-AA16-49E42034B3B9}" name="Table11" displayName="Table11" ref="AT3:AX9" totalsRowShown="0" headerRowDxfId="139" dataDxfId="138">
  <autoFilter ref="AT3:AX9" xr:uid="{D968F538-0318-4209-AA16-49E42034B3B9}"/>
  <tableColumns count="5">
    <tableColumn id="1" xr3:uid="{6AA3FB13-EE56-4D99-86ED-A74C42EED7F1}" name="Activité"/>
    <tableColumn id="2" xr3:uid="{42DF0F46-BDCF-41D4-AB63-E3C2411ED211}" name="Bachelor et plus (minimum)" dataDxfId="137"/>
    <tableColumn id="4" xr3:uid="{791166C7-3CEB-4C56-97EC-279EA3D0A98A}" name="Auxiliaire de vie et ASF (maximum)" dataDxfId="136"/>
    <tableColumn id="5" xr3:uid="{5A844566-DB14-4B76-8843-59F2CC08A63F}" name="Autres qualifications (maximum)" dataDxfId="135"/>
    <tableColumn id="6" xr3:uid="{EBE56B7A-C2CC-4C43-B093-D7B6E3DF8153}" name="Baccalauréat" dataDxfId="134">
      <calculatedColumnFormula>1-Table11[[#This Row],[Bachelor et plus (minimum)]]-Table11[[#This Row],[Auxiliaire de vie et ASF (maximum)]]-Table11[[#This Row],[Autres qualifications (maximum)]]</calculatedColumnFormula>
    </tableColumn>
  </tableColumns>
  <tableStyleInfo name="TableStyleMedium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D38044B-6766-436B-9A0C-6DBAADF99253}" name="Table13" displayName="Table13" ref="X3:X5" totalsRowShown="0" headerRowDxfId="133" dataDxfId="132">
  <autoFilter ref="X3:X5" xr:uid="{FD38044B-6766-436B-9A0C-6DBAADF99253}"/>
  <tableColumns count="1">
    <tableColumn id="1" xr3:uid="{DA699B3E-072D-4AB5-BD35-D16CD9BAEC58}" name="Eligibilité prime unique (si contrat effectif au ...)" dataDxfId="131"/>
  </tableColumns>
  <tableStyleInfo name="TableStyleMedium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7408146-4D37-46AE-935D-0E8A00F84FF2}" name="Table9" displayName="Table9" ref="A10:D14" totalsRowShown="0" headerRowDxfId="189" dataDxfId="188">
  <autoFilter ref="A10:D14" xr:uid="{B7408146-4D37-46AE-935D-0E8A00F84FF2}"/>
  <tableColumns count="4">
    <tableColumn id="1" xr3:uid="{6E7497D5-FA33-4B80-A846-A5A01AA7D3C9}" name="Nom" dataDxfId="187"/>
    <tableColumn id="2" xr3:uid="{4241800D-1231-4B98-BAA5-3AAE2ABB7048}" name="Prénom" dataDxfId="186"/>
    <tableColumn id="3" xr3:uid="{580EB0FD-C849-4E60-B0F1-7CFF5A1A7B7C}" name="Téléphone" dataDxfId="185"/>
    <tableColumn id="4" xr3:uid="{F03E3E19-C820-4D0D-A210-6C292A6EC69C}" name="Mail" dataDxfId="184"/>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1AA9434-F801-465E-BC59-48E5FD94C5F8}" name="RDP_Effectif" displayName="RDP_Effectif" ref="A3:T4" insertRow="1" totalsRowShown="0" headerRowDxfId="130" dataDxfId="128" headerRowBorderDxfId="129" tableBorderDxfId="127" headerRowCellStyle="Excel Built-in Normal" dataCellStyle="Excel Built-in Comma">
  <autoFilter ref="A3:T4" xr:uid="{F1AA9434-F801-465E-BC59-48E5FD94C5F8}"/>
  <tableColumns count="20">
    <tableColumn id="1" xr3:uid="{52209C5D-DEA2-413C-B06C-51C62ED30F52}" name="Prestation" dataDxfId="126" dataCellStyle="Excel Built-in Normal">
      <calculatedColumnFormula>'F0 - Générales'!$B$7</calculatedColumnFormula>
    </tableColumn>
    <tableColumn id="19" xr3:uid="{9EAD2B89-21CD-41FB-9535-BD5346D50F62}" name="Identifant" dataDxfId="125" dataCellStyle="Excel Built-in Normal"/>
    <tableColumn id="2" xr3:uid="{D09B8AD4-CFFC-47DD-B13C-FB248BA4A8F8}" name="Type de personnel" dataDxfId="124" dataCellStyle="Excel Built-in Normal"/>
    <tableColumn id="3" xr3:uid="{76E75606-E6BD-475C-A975-F8F90E304685}" name="Affectation" dataDxfId="123" dataCellStyle="Excel Built-in Normal"/>
    <tableColumn id="4" xr3:uid="{53FBEF3A-A058-49D1-ADF0-BE9360F29876}" name="Carrière" dataDxfId="122" dataCellStyle="Excel Built-in Normal"/>
    <tableColumn id="5" xr3:uid="{E04A4E29-173B-46D2-BD0B-D70BA7AF05E7}" name="ETP moyen annuel" dataDxfId="121" dataCellStyle="Excel Built-in Comma"/>
    <tableColumn id="6" xr3:uid="{377721AD-D828-4EAF-A883-4AECC8843512}" name="Ancienneté en nb d'années (au 31/12 ou date de sortie pour personnel sortant)" dataDxfId="120" dataCellStyle="Excel Built-in Comma"/>
    <tableColumn id="7" xr3:uid="{F1E2D089-F1EF-4491-90A6-27D16F5DABAF}" name="Heures de maladie de courte durée (personnel d'encadrement uniquement)" dataDxfId="119" dataCellStyle="Excel Built-in Comma"/>
    <tableColumn id="21" xr3:uid="{6419EAE2-C93B-4AA6-964C-805648300BC2}" name="Prime unique (charge brute totale + part patronale)" dataDxfId="118" dataCellStyle="Excel Built-in Comma"/>
    <tableColumn id="20" xr3:uid="{671C9451-99BA-4D2C-B400-948F8C65D819}" name="Pécule de vacances (charge brute totale + part patronale)" dataDxfId="117" dataCellStyle="Excel Built-in Comma"/>
    <tableColumn id="9" xr3:uid="{9CE35159-37CF-4DE5-A89F-1CABC04F8C58}" name="Salaire pour l'année de recensement (charge brute totale + part patronale, y compris 13ème mois hors prime unique et pécule de vacances)" dataDxfId="116" dataCellStyle="Excel Built-in Comma"/>
    <tableColumn id="13" xr3:uid="{1724E618-538D-438C-85A1-5FBD7FA4C69E}" name="Primes et suppléments pour l'année de recensement (et part patronale y liés hors prime unique et pécule de vacances)" dataDxfId="115" dataCellStyle="Excel Built-in Comma"/>
    <tableColumn id="15" xr3:uid="{A9800E89-C649-4A03-ACE0-4831D0802651}" name="Remboursement mutualité_x000a_" dataDxfId="114" dataCellStyle="Excel Built-in Comma"/>
    <tableColumn id="16" xr3:uid="{B6D1AE05-DAAB-449F-A69F-E948798FE8FE}" name="Indemnités payées par  organismes tiers pour congés spéciaux (c.politiques, sportifs…)" dataDxfId="113" dataCellStyle="Excel Built-in Comma"/>
    <tableColumn id="17" xr3:uid="{82B7602D-CB6D-4364-B44C-6EFD664BF5AA}" name="Autres remboursements (p.ex. ADEM)" dataDxfId="112" dataCellStyle="Excel Built-in Comma"/>
    <tableColumn id="8" xr3:uid="{0134A5BC-FDBD-4E09-8F2E-1DC7B8C6E74D}" name="ETP après déduction des h de maladie" dataDxfId="111" dataCellStyle="Excel Built-in Comma">
      <calculatedColumnFormula>RDP_Effectif[[#This Row],[ETP moyen annuel]]-RDP_Effectif[[#This Row],[Heures de maladie de courte durée (personnel d''encadrement uniquement)]]/Data!$B$6</calculatedColumnFormula>
    </tableColumn>
    <tableColumn id="10" xr3:uid="{DB42051C-3353-4BDC-8D5B-8F5129DD059B}" name="Salaire brut estimé sur une année (charge brute totale + part patronale, y compris 13ème mois hors prime unique et pécule de vacances)" dataDxfId="110" dataCellStyle="Excel Built-in Comma">
      <calculatedColumnFormula array="1">IF(OR(RDP_Effectif[[#This Row],[Carrière]]="",RDP_Effectif[[#This Row],[Ancienneté en nb d''années (au 31/12 ou date de sortie pour personnel sortant)]]=""),"",
(
  (SUM(('Carrières et points'!$A$21:$Z$60)*('Carrières et points'!$A$20:$Z$20=$E4)*('Carrières et points'!$A$21:$A$60=$G4))*'Carrières et points'!$C$7*'Carrières et points'!$C$9)
  +(SUM(('Carrières et points'!$A$21:$Z$60)*('Carrières et points'!$A$20:$Z$20=$E4)*('Carrières et points'!$A$21:$A$60=$G4))*'Carrières et points'!$C$13*'Carrières et points'!$C$15)
  +(SUM(('Carrières et points'!$A$21:$Z$60)*('Carrières et points'!$A$20:$Z$20=$E4)*('Carrières et points'!$A$21:$A$60=$G4))*'Carrières et points'!$I$7*'Carrières et points'!$I$9)
  +(SUM(('Carrières et points'!$A$21:$Z$60)*('Carrières et points'!$A$20:$Z$20=$E4)*('Carrières et points'!$A$21:$A$60=$G4))*'Carrières et points'!$I$13*'Carrières et points'!$I$15)
)
*(1+'F0 - Générales'!$B$19)
+
(
  (SUM(('Carrières et points'!$A$21:$Z$60)*('Carrières et points'!$A$20:$Z$20=$E4)*('Carrières et points'!$A$21:$A$60=$G4))*'Carrières et points'!$C$7*'Carrières et points'!$C$9)
  +(SUM(('Carrières et points'!$A$21:$Z$60)*('Carrières et points'!$A$20:$Z$20=$E4)*('Carrières et points'!$A$21:$A$60=$G4))*'Carrières et points'!$C$13*'Carrières et points'!$C$15)
  +(SUM(('Carrières et points'!$A$21:$Z$60)*('Carrières et points'!$A$20:$Z$20=$E4)*('Carrières et points'!$A$21:$A$60=$G4))*'Carrières et points'!$I$7*'Carrières et points'!$I$9)
  +(SUM(('Carrières et points'!$A$21:$Z$60)*('Carrières et points'!$A$20:$Z$20=$E4)*('Carrières et points'!$A$21:$A$60=$G4))*'Carrières et points'!$I$13*'Carrières et points'!$I$15)
)
/12*(1+'F0 - Générales'!$B$20)
)*RDP_Effectif[[#This Row],[ETP moyen annuel]]</calculatedColumnFormula>
    </tableColumn>
    <tableColumn id="11" xr3:uid="{4DF6A8E6-05F1-4A43-9DF2-15372A788338}" name="Contrôle (95 - 105%) salaire réel/théorique" dataDxfId="109" dataCellStyle="Excel Built-in Comma">
      <calculatedColumnFormula>IF(OR(RDP_Effectif[[#This Row],[Salaire pour l''année de recensement (charge brute totale + part patronale, y compris 13ème mois hors prime unique et pécule de vacances)]]="",RDP_Effectif[[#This Row],[Salaire brut estimé sur une année (charge brute totale + part patronale, y compris 13ème mois hors prime unique et pécule de vacances)]]=""),"",
IF(OR((RDP_Effectif[[#This Row],[Salaire pour l''année de recensement (charge brute totale + part patronale, y compris 13ème mois hors prime unique et pécule de vacances)]])&gt;1.05*RDP_Effectif[[#This Row],[Salaire brut estimé sur une année (charge brute totale + part patronale, y compris 13ème mois hors prime unique et pécule de vacances)]],
(RDP_Effectif[[#This Row],[Salaire pour l''année de recensement (charge brute totale + part patronale, y compris 13ème mois hors prime unique et pécule de vacances)]])&lt;0.95*RDP_Effectif[[#This Row],[Salaire brut estimé sur une année (charge brute totale + part patronale, y compris 13ème mois hors prime unique et pécule de vacances)]]),
"À justifier","Ok"))</calculatedColumnFormula>
    </tableColumn>
    <tableColumn id="12" xr3:uid="{0B5ADCD9-2193-4050-9F6D-176F67E0271D}" name="Justification le cas échéant (si écart entre salaire réel et salaire théorique)" dataDxfId="108" dataCellStyle="Excel Built-in Comma"/>
    <tableColumn id="18" xr3:uid="{6D7B153C-591F-40E5-8631-E68E6CC3CD42}" name="Coût salaire annuel" dataDxfId="107" dataCellStyle="Excel Built-in Comma">
      <calculatedColumnFormula>IF(RDP_Effectif[[#This Row],[Salaire pour l''année de recensement (charge brute totale + part patronale, y compris 13ème mois hors prime unique et pécule de vacances)]]="","",
RDP_Effectif[[#This Row],[Salaire pour l''année de recensement (charge brute totale + part patronale, y compris 13ème mois hors prime unique et pécule de vacances)]]+
RDP_Effectif[[#This Row],[Pécule de vacances (charge brute totale + part patronale)]]+
RDP_Effectif[[#This Row],[Prime unique (charge brute totale + part patronale)]]+
RDP_Effectif[[#This Row],[Primes et suppléments pour l''année de recensement (et part patronale y liés hors prime unique et pécule de vacances)]]-
SUM(RDP_Effectif[[#This Row],[Remboursement mutualité
]:[Autres remboursements (p.ex. ADEM)]]))</calculatedColumnFormula>
    </tableColumn>
  </tableColumns>
  <tableStyleInfo name="TableStyleMedium6"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E422150-C4AF-49B1-BD02-8C3173678FFA}" name="RDP_Spécifique" displayName="RDP_Spécifique" ref="A3:L4" insertRow="1" totalsRowShown="0" headerRowDxfId="106" dataDxfId="104" headerRowBorderDxfId="105" tableBorderDxfId="103" headerRowCellStyle="Excel Built-in Normal" dataCellStyle="Excel Built-in Comma">
  <autoFilter ref="A3:L4" xr:uid="{0E422150-C4AF-49B1-BD02-8C3173678FFA}"/>
  <tableColumns count="12">
    <tableColumn id="1" xr3:uid="{B465784C-5F61-458D-90FD-0B4B9ACFC94A}" name="Prestation" dataDxfId="102" dataCellStyle="Excel Built-in Normal">
      <calculatedColumnFormula>'F0 - Générales'!$B$7</calculatedColumnFormula>
    </tableColumn>
    <tableColumn id="11" xr3:uid="{C582B287-87A4-491B-A309-C60156A85686}" name="Identifiant" dataDxfId="101" dataCellStyle="Excel Built-in Normal"/>
    <tableColumn id="2" xr3:uid="{5CEFDD46-1DAC-443A-B75D-C77908BF635C}" name="Type de personnel" dataDxfId="100" dataCellStyle="Excel Built-in Normal"/>
    <tableColumn id="3" xr3:uid="{F48DF933-39B9-419D-B3DA-F5D2D0F5CA6A}" name="ETP moyen annuel" dataDxfId="99" dataCellStyle="Excel Built-in Comma"/>
    <tableColumn id="13" xr3:uid="{882B1779-F2C1-44B0-AFB7-C53FADAE5DBB}" name="Prime unique (charge brute totale + part patronale)" dataDxfId="98" dataCellStyle="Excel Built-in Comma"/>
    <tableColumn id="14" xr3:uid="{A1A25708-E490-41B7-832F-E504B33371C4}" name="Pécule de vacances (charge brute totale + part patronale)" dataDxfId="97" dataCellStyle="Excel Built-in Comma"/>
    <tableColumn id="4" xr3:uid="{C88FD404-C4CE-4DA8-880D-484FD419A0CF}" name="Salaire pour l'année de recensement (charge brute totale + part patronale, y compris 13ème mois hors prime unique et pécule de vacances)" dataDxfId="96" dataCellStyle="Excel Built-in Comma"/>
    <tableColumn id="5" xr3:uid="{BB138EDD-4512-4F2D-9B80-1E1708094B7D}" name="Primes et suppléments pour l'année de recensement (et part patronale y liés hors prime unique et pécule de vacances)" dataDxfId="95" dataCellStyle="Excel Built-in Comma"/>
    <tableColumn id="7" xr3:uid="{B0D5DBBD-E55D-43D6-A4AC-5933454B5DE5}" name="Remboursement mutualité_x000a_" dataDxfId="94" dataCellStyle="Excel Built-in Comma"/>
    <tableColumn id="8" xr3:uid="{903FA629-C4B8-4A1F-ACF3-09CC38F2F288}" name="Indemnités payées par  organismes tiers pour congés spéciaux (c.politiques, sportifs…)" dataDxfId="93" dataCellStyle="Excel Built-in Comma"/>
    <tableColumn id="9" xr3:uid="{346C9F80-735F-4589-A204-CA5026FBA2F7}" name="Autres remboursements (p.ex. ADEM)" dataDxfId="92" dataCellStyle="Excel Built-in Comma"/>
    <tableColumn id="10" xr3:uid="{9AEC000E-C601-414E-ABF4-2060B601B964}" name="Coût salaire annuel" dataDxfId="91" dataCellStyle="Excel Built-in Comma">
      <calculatedColumnFormula>IF(RDP_Spécifique[[#This Row],[Salaire pour l''année de recensement (charge brute totale + part patronale, y compris 13ème mois hors prime unique et pécule de vacances)]]="","",
RDP_Spécifique[[#This Row],[Salaire pour l''année de recensement (charge brute totale + part patronale, y compris 13ème mois hors prime unique et pécule de vacances)]]+
RDP_Spécifique[[#This Row],[Pécule de vacances (charge brute totale + part patronale)]]+
RDP_Spécifique[[#This Row],[Prime unique (charge brute totale + part patronale)]]+
RDP_Spécifique[[#This Row],[Primes et suppléments pour l''année de recensement (et part patronale y liés hors prime unique et pécule de vacances)]]-
SUM(RDP_Spécifique[[#This Row],[Remboursement mutualité
]:[Autres remboursements (p.ex. ADEM)]]))</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C879271-866B-4507-9C75-DACE7EB26130}" name="Table2" displayName="Table2" ref="G3:H4" totalsRowShown="0" headerRowDxfId="179" dataDxfId="178">
  <autoFilter ref="G3:H4" xr:uid="{7C879271-866B-4507-9C75-DACE7EB26130}"/>
  <tableColumns count="2">
    <tableColumn id="1" xr3:uid="{1CD40872-EEA8-488E-97D8-C33265ACA235}" name="Libellé" dataDxfId="177"/>
    <tableColumn id="2" xr3:uid="{D7FAB668-8BE0-47E8-BE19-C53F1A41FBB2}" name="Taux" dataDxfId="176" dataCellStyle="Percent"/>
  </tableColumns>
  <tableStyleInfo name="TableStyleDark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ED22F8-DD9E-469D-BFF2-78FA8DDEFF0E}" name="Table3" displayName="Table3" ref="J3:M8" totalsRowShown="0" headerRowDxfId="175" dataDxfId="174">
  <autoFilter ref="J3:M8" xr:uid="{C0ED22F8-DD9E-469D-BFF2-78FA8DDEFF0E}"/>
  <tableColumns count="4">
    <tableColumn id="1" xr3:uid="{71AADD53-5FC5-4A8C-A12C-E77E10B88E4D}" name="Libellé" dataDxfId="173"/>
    <tableColumn id="2" xr3:uid="{F9A3B10A-2DFA-4790-AE75-4727D64E8C86}" name="Coeff" dataDxfId="172"/>
    <tableColumn id="3" xr3:uid="{0D38E30B-3E22-4BF1-B971-0B5DBCE4C9FF}" name="Accident au travail" dataDxfId="171">
      <calculatedColumnFormula array="1">K4*Table2[Taux]</calculatedColumnFormula>
    </tableColumn>
    <tableColumn id="4" xr3:uid="{6B52BC41-F17A-4686-BCD8-FF92A2C7788F}" name="Mutualité" dataDxfId="170"/>
  </tableColumns>
  <tableStyleInfo name="TableStyleDark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2F365E0-42F8-4223-A5EE-97201DC82271}" name="Table4" displayName="Table4" ref="O3:P28" totalsRowShown="0" headerRowDxfId="169" dataDxfId="168">
  <autoFilter ref="O3:P28" xr:uid="{82F365E0-42F8-4223-A5EE-97201DC82271}"/>
  <tableColumns count="2">
    <tableColumn id="1" xr3:uid="{5316C4C0-2674-42A9-8DC0-E03A1EBFE43C}" name="Carrière" dataDxfId="167"/>
    <tableColumn id="2" xr3:uid="{A7C54B68-80C0-4760-B9C7-97BBB982BEE9}" name="Equivalent carrière" dataDxfId="166"/>
  </tableColumns>
  <tableStyleInfo name="TableStyleDark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F4A8125-244C-4E27-B56A-B6CC04F5D4F9}" name="Table5" displayName="Table5" ref="V3:V7" totalsRowShown="0" headerRowDxfId="165" dataDxfId="164">
  <autoFilter ref="V3:V7" xr:uid="{FF4A8125-244C-4E27-B56A-B6CC04F5D4F9}"/>
  <tableColumns count="1">
    <tableColumn id="1" xr3:uid="{DCE2BE60-E0F3-41E3-A201-F9C06CC61DE9}" name="Affectation" dataDxfId="163"/>
  </tableColumns>
  <tableStyleInfo name="TableStyleDark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E5ACE7C-78B7-4C1E-A786-40DF2945FC9C}" name="Table6" displayName="Table6" ref="AB3:AJ18" totalsRowShown="0" headerRowDxfId="162" dataDxfId="161">
  <autoFilter ref="AB3:AJ18" xr:uid="{AE5ACE7C-78B7-4C1E-A786-40DF2945FC9C}"/>
  <tableColumns count="9">
    <tableColumn id="1" xr3:uid="{A865027F-830B-4FA1-8DE1-2E884396B1C2}" name="Activité" dataDxfId="160"/>
    <tableColumn id="5" xr3:uid="{E7BB6E01-E00D-4AFA-A40F-7BC0F7773C2C}" name="Equivalent matrice" dataDxfId="159"/>
    <tableColumn id="6" xr3:uid="{54F9758E-CFD6-4C56-9BD4-4D2396911628}" name="Descriptif" dataDxfId="158"/>
    <tableColumn id="2" xr3:uid="{9C5E4520-C035-4AFD-AC28-7A7B6F07FE00}" name="Service" dataDxfId="157"/>
    <tableColumn id="3" xr3:uid="{CBC63B31-85C0-4094-A52C-19071867A24B}" name="Efficience min" dataDxfId="156"/>
    <tableColumn id="4" xr3:uid="{EA89BBE6-6D96-4F84-B891-8AAE6385254C}" name="Efficience max" dataDxfId="155"/>
    <tableColumn id="7" xr3:uid="{764EEBAA-CB28-4237-AA2C-69F274446773}" name="Normes test plausibilité" dataDxfId="154"/>
    <tableColumn id="8" xr3:uid="{65A39FEB-2A81-42DB-94EB-AC3A9679F37A}" name="Normes agrément jour" dataDxfId="153"/>
    <tableColumn id="9" xr3:uid="{BDDA4D86-8B98-4E98-88BD-292290AD9D0E}" name="Normes agrément nuit" dataDxfId="152"/>
  </tableColumns>
  <tableStyleInfo name="TableStyleDark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E50155C-B6E3-4BCE-934E-B752E308A548}" name="Table7" displayName="Table7" ref="AP3:AR29" totalsRowShown="0" headerRowDxfId="151" dataDxfId="150">
  <autoFilter ref="AP3:AR29" xr:uid="{3E50155C-B6E3-4BCE-934E-B752E308A548}"/>
  <tableColumns count="3">
    <tableColumn id="1" xr3:uid="{7153D4E7-EA3B-4605-9E95-DA812B826101}" name="Niveau qualification" dataDxfId="149"/>
    <tableColumn id="2" xr3:uid="{0CA4D9AE-4CD6-4AFF-9911-2B4655634E91}" name="Carrière" dataDxfId="148"/>
    <tableColumn id="3" xr3:uid="{EDB53FBF-9C7D-42FE-850D-0C0C928B2E9F}" name="Niveau qualification ministère" dataDxfId="147"/>
  </tableColumns>
  <tableStyleInfo name="TableStyleDark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E45D88B-1602-43A3-A1DB-4B59DB7BF369}" name="Table8" displayName="Table8" ref="Z3:Z5" totalsRowShown="0" headerRowDxfId="146">
  <autoFilter ref="Z3:Z5" xr:uid="{2E45D88B-1602-43A3-A1DB-4B59DB7BF369}"/>
  <tableColumns count="1">
    <tableColumn id="1" xr3:uid="{FC30D65F-7AF6-4182-8496-66C3EB225A0F}" name="Service"/>
  </tableColumns>
  <tableStyleInfo name="TableStyleDark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47802FF-CBBB-4FA5-93AB-D1FF6FCB6861}" name="Table10" displayName="Table10" ref="R3:R5" totalsRowShown="0" headerRowDxfId="145" dataDxfId="144">
  <autoFilter ref="R3:R5" xr:uid="{947802FF-CBBB-4FA5-93AB-D1FF6FCB6861}"/>
  <tableColumns count="1">
    <tableColumn id="1" xr3:uid="{4230F937-018F-4C2D-A63D-5C59AB9984CE}" name="Type de personnel" dataDxfId="143"/>
  </tableColumns>
  <tableStyleInfo name="TableStyleMedium8"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O1" dT="2026-03-31T11:39:17.40" personId="{2C0C59AB-87C1-4FDB-9AF2-6B135B504B70}" id="{D124DE80-6C05-4A77-B13A-DF6CEFCEE312}">
    <text>Ne pas oublier d’indexer, de calculer le glissement et autres primes le cas échéant. Mutualité taux normal 2024 et pas d’augmentation de la quote part sur cotisations patronales car effective qu’au 01/01/2026.</text>
  </threadedComment>
  <threadedComment ref="AL3" dT="2024-05-07T06:46:32.98" personId="{2C0C59AB-87C1-4FDB-9AF2-6B135B504B70}" id="{F585663A-82AF-4251-A97B-29543BAA547E}">
    <text>Pour la liste en cascade</text>
  </threadedComment>
  <threadedComment ref="AN3" dT="2024-05-07T06:46:32.98" personId="{2C0C59AB-87C1-4FDB-9AF2-6B135B504B70}" id="{A9F85C49-11DE-44DE-A29E-8BEAF13869E0}">
    <text>Pour la liste en cascade</text>
  </threadedComment>
  <threadedComment ref="H4" dT="2024-05-21T06:44:14.73" personId="{2C0C59AB-87C1-4FDB-9AF2-6B135B504B70}" id="{330FAD51-C613-4F8F-944C-E77B66C1FDE1}">
    <text>Ce taux la ne bouge pas</text>
  </threadedComment>
  <threadedComment ref="B6" dT="2024-05-13T09:02:42.07" personId="{2C0C59AB-87C1-4FDB-9AF2-6B135B504B70}" id="{73B140F4-A317-4415-A11A-1315E2F5B9F8}">
    <text>Temps de travail payé (sans deduction congés, maladie…)</text>
  </threadedComment>
  <threadedComment ref="B10" dT="2024-05-17T10:12:33.84" personId="{2C0C59AB-87C1-4FDB-9AF2-6B135B504B70}" id="{F6E82217-C1E0-4BBD-BC91-C55DF6BFACA1}">
    <text>Accord entre ministère et gestionnaires</text>
  </threadedComment>
  <threadedComment ref="BA10" dT="2026-03-18T12:17:04.80" personId="{2C0C59AB-87C1-4FDB-9AF2-6B135B504B70}" id="{8B30F961-F37F-4F2A-930A-3336AEA48CFB}">
    <text>Verifier ce tarif en 2025</text>
  </threadedComment>
</ThreadedComments>
</file>

<file path=xl/threadedComments/threadedComment2.xml><?xml version="1.0" encoding="utf-8"?>
<ThreadedComments xmlns="http://schemas.microsoft.com/office/spreadsheetml/2018/threadedcomments" xmlns:x="http://schemas.openxmlformats.org/spreadsheetml/2006/main">
  <threadedComment ref="Q4" dT="2024-05-16T06:55:28.65" personId="{2C0C59AB-87C1-4FDB-9AF2-6B135B504B70}" id="{F0615341-62DB-4EB3-91DF-2B393D687047}">
    <text>Si l'efficience du personnel d'encadrement est en dessus du minimum ou au dessus du maximum, alors on divise le resultat pondéré par le min ou le max et on le multiplie par l'efficience du personnel d'encadrement. Sinon on affiche le resultat pondéré</text>
  </threadedComment>
  <threadedComment ref="Q11" dT="2024-05-07T13:20:44.55" personId="{2C0C59AB-87C1-4FDB-9AF2-6B135B504B70}" id="{C1286320-2589-483B-AFD1-50A3AEDD3F78}">
    <text>Si le 9.1 est à 0 alors on regarde si l'efficience global est inf à 62.5% ou sup à 82.5% et la on recalcule avec l'efficience global si c'est le cas. Sinon on prend la somme des diviseurs pondérés classiques.
Sil y a du 9.1 on fait la même chose mais avec les taux de 60 et 80%</text>
  </threadedComment>
</ThreadedComments>
</file>

<file path=xl/threadedComments/threadedComment3.xml><?xml version="1.0" encoding="utf-8"?>
<ThreadedComments xmlns="http://schemas.microsoft.com/office/spreadsheetml/2018/threadedcomments" xmlns:x="http://schemas.openxmlformats.org/spreadsheetml/2006/main">
  <threadedComment ref="A3" dT="2024-05-13T09:01:23.18" personId="{2C0C59AB-87C1-4FDB-9AF2-6B135B504B70}" id="{3C91D164-57AE-4D40-81B4-3B1289183577}">
    <text>Cette colonne existe suite à l'historique ou on avait toutes les infos sur un seul fichier</text>
  </threadedComment>
</ThreadedComments>
</file>

<file path=xl/threadedComments/threadedComment4.xml><?xml version="1.0" encoding="utf-8"?>
<ThreadedComments xmlns="http://schemas.microsoft.com/office/spreadsheetml/2018/threadedcomments" xmlns:x="http://schemas.openxmlformats.org/spreadsheetml/2006/main">
  <threadedComment ref="A3" dT="2024-05-13T09:01:23.18" personId="{2C0C59AB-87C1-4FDB-9AF2-6B135B504B70}" id="{F0074BFD-F05A-43C9-9FDF-56F6D058E752}">
    <text>Je ne comprends pas, nous sommes seulement sur le type de prestation selectionné non ? Donc pourquoi renseigner cette colonne</text>
  </threadedComment>
</ThreadedComments>
</file>

<file path=xl/threadedComments/threadedComment5.xml><?xml version="1.0" encoding="utf-8"?>
<ThreadedComments xmlns="http://schemas.microsoft.com/office/spreadsheetml/2018/threadedcomments" xmlns:x="http://schemas.openxmlformats.org/spreadsheetml/2006/main">
  <threadedComment ref="D3" dT="2026-02-16T13:19:55.74" personId="{2C0C59AB-87C1-4FDB-9AF2-6B135B504B70}" id="{9B276286-FD63-453C-9CA5-33D2E8C41918}">
    <text>Les ETP ne sont pas affectés par prestation. On contrôle ainsi uniquement le total</text>
  </threadedComment>
  <threadedComment ref="J3" dT="2026-02-16T13:19:55.74" personId="{2C0C59AB-87C1-4FDB-9AF2-6B135B504B70}" id="{00DBBED7-2785-44AE-81CC-EF2884352034}">
    <text>Les ETP ne sont pas affectés par prestation. On contrôle ainsi uniquement le total</text>
  </threadedComment>
  <threadedComment ref="M3" dT="2026-02-16T13:19:55.74" personId="{2C0C59AB-87C1-4FDB-9AF2-6B135B504B70}" id="{9FE7EA05-14F0-4CCC-8642-B212C6CDBCFD}">
    <text>Les ETP ne sont pas affectés par prestation. On contrôle ainsi uniquement le total</text>
  </threadedComment>
  <threadedComment ref="P3" dT="2026-02-16T13:19:55.74" personId="{2C0C59AB-87C1-4FDB-9AF2-6B135B504B70}" id="{8ED80883-52EA-4D2E-A1D0-2F5222611888}">
    <text>Les ETP ne sont pas affectés par prestation. On contrôle ainsi uniquement le total</text>
  </threadedComment>
  <threadedComment ref="H15" dT="2026-03-03T13:26:16.97" personId="{2C0C59AB-87C1-4FDB-9AF2-6B135B504B70}" id="{07A1DD16-95D2-4695-A52C-25E611625D1E}">
    <text>Moyenne salaire carrière minimum du type de qualif sur l’activité concerné</text>
  </threadedComment>
  <threadedComment ref="K15" dT="2026-03-03T13:26:16.97" personId="{2C0C59AB-87C1-4FDB-9AF2-6B135B504B70}" id="{00CEE056-340D-46B7-B62C-39C1CD01CC2C}">
    <text>Moyenne salaire carrière minimum du type de qualif sur l’activité concerné</text>
  </threadedComment>
  <threadedComment ref="N15" dT="2026-03-03T13:26:16.97" personId="{2C0C59AB-87C1-4FDB-9AF2-6B135B504B70}" id="{6D8BD931-6354-46B4-90DD-0C3F0B32550C}">
    <text>Moyenne salaire carrière minimum du type de qualif sur l’activité concerné</text>
  </threadedComment>
  <threadedComment ref="Q15" dT="2026-03-03T13:26:16.97" personId="{2C0C59AB-87C1-4FDB-9AF2-6B135B504B70}" id="{55BE5DDC-0A79-4D67-9AEC-53CD79FDD11F}">
    <text>Moyenne salaire carrière minimum du type de qualif sur l’activité concerné</text>
  </threadedComment>
  <threadedComment ref="T15" dT="2026-03-03T13:26:16.97" personId="{2C0C59AB-87C1-4FDB-9AF2-6B135B504B70}" id="{1E4F92AC-F3B7-4B6C-9941-222D1EF916CC}">
    <text>Moyenne salaire carrière minimum du type de qualif sur l’activité concerné</text>
  </threadedComment>
  <threadedComment ref="I26" dT="2026-03-04T11:00:15.64" personId="{2C0C59AB-87C1-4FDB-9AF2-6B135B504B70}" id="{34272353-104D-4230-A31D-064EA7C987F3}">
    <text>Nombre d’ETP qui voient leur salaire recalculé sur base d’un C2 qualifié</text>
  </threadedComment>
  <threadedComment ref="J26" dT="2026-03-04T11:00:45.77" personId="{2C0C59AB-87C1-4FDB-9AF2-6B135B504B70}" id="{F5468CE1-4C1B-49B7-B503-04A87D719095}">
    <text>Nouvelle marge d’auxiliaire de vie</text>
  </threadedComment>
  <threadedComment ref="D28" dT="2026-03-05T08:45:43.21" personId="{2C0C59AB-87C1-4FDB-9AF2-6B135B504B70}" id="{8747046C-9801-4F9C-BEE1-F91F1531107E}">
    <text>Attention problème formule si le non respect du test vient d’une efficience trop grande ou trop petite et non d’un problème de qualif et s’il n’y a aucune autre qualif que la qualif necessaire. C’est un cas très rare que j’ai prévu uniquement pour le 9.1 car j’ai eu le cas en 2024 mais je ne peux pas le prévoir pour tous les forfaits car j’arrive à la limite de 8.192 caractères dans la formule. Par contre, si on ne tient finalement pas de l’efficience dans le test de plau, on peut supprimer ce iferror dans le forfait 9.1 car le cas n’existera plus.
PS : dans la formule les deux premiers termes sont liés au forfait 7</text>
  </threadedComment>
</ThreadedComments>
</file>

<file path=xl/threadedComments/threadedComment6.xml><?xml version="1.0" encoding="utf-8"?>
<ThreadedComments xmlns="http://schemas.microsoft.com/office/spreadsheetml/2018/threadedcomments" xmlns:x="http://schemas.openxmlformats.org/spreadsheetml/2006/main">
  <threadedComment ref="D3" dT="2026-02-16T13:19:55.74" personId="{2C0C59AB-87C1-4FDB-9AF2-6B135B504B70}" id="{CC9DCF4F-ED1D-455D-9B97-84F3A87A8237}">
    <text>Les ETP ne sont pas affectés par prestation. On contrôle ainsi uniquement le total</text>
  </threadedComment>
  <threadedComment ref="F3" dT="2026-04-21T08:05:24.82" personId="{2C0C59AB-87C1-4FDB-9AF2-6B135B504B70}" id="{19ECB103-EFF6-4FB5-BCB1-BAE233CC5E77}">
    <text>Ici on calcule un réel théorique pour le personnel qualifié de l’ortho et on applique les 3%</text>
  </threadedComment>
  <threadedComment ref="G3" dT="2026-02-16T13:19:55.74" personId="{2C0C59AB-87C1-4FDB-9AF2-6B135B504B70}" id="{8058E7EA-F552-4372-87BD-E64043F53E53}">
    <text>Les ETP ne sont pas affectés par prestation. On contrôle ainsi uniquement le total</text>
  </threadedComment>
  <threadedComment ref="J3" dT="2026-02-16T13:19:55.74" personId="{2C0C59AB-87C1-4FDB-9AF2-6B135B504B70}" id="{CD8668CD-E1BC-4F93-85AF-063B1E92A166}">
    <text>Les ETP ne sont pas affectés par prestation. On contrôle ainsi uniquement le total</text>
  </threadedComment>
  <threadedComment ref="M3" dT="2026-02-16T13:19:55.74" personId="{2C0C59AB-87C1-4FDB-9AF2-6B135B504B70}" id="{A5E28E20-04C4-42B8-8B41-25D75B6E32C1}">
    <text>Les ETP ne sont pas affectés par prestation. On contrôle ainsi uniquement le total</text>
  </threadedComment>
  <threadedComment ref="P3" dT="2026-02-16T13:19:55.74" personId="{2C0C59AB-87C1-4FDB-9AF2-6B135B504B70}" id="{7F0EC11C-1339-473A-BDD1-A6969BE79F7C}">
    <text>Les ETP ne sont pas affectés par prestation. On contrôle ainsi uniquement le total</text>
  </threadedComment>
  <threadedComment ref="J10" dT="2026-04-21T08:41:12.69" personId="{2C0C59AB-87C1-4FDB-9AF2-6B135B504B70}" id="{4C0CF6A9-F706-459A-95F7-7F8B20097F48}">
    <text>On soustrait la part des C7 utilisés en ortho le cas échéant</text>
  </threadedComment>
  <threadedComment ref="K11" dT="2026-05-19T10:53:33.18" personId="{2C0C59AB-87C1-4FDB-9AF2-6B135B504B70}" id="{35B667D1-551A-4774-A5E1-E4F0A4E8030E}">
    <text>Si on est pas bon, on cherche dans C4 C3 ou C1.Si ya un reste apres on le trf. Ne pas oublier de traiter les trf à droite</text>
  </threadedComment>
  <threadedComment ref="H17" dT="2026-05-21T09:43:17.25" personId="{2C0C59AB-87C1-4FDB-9AF2-6B135B504B70}" id="{DAC45F29-DC74-4276-B901-737EF630CF82}">
    <text>Nb d’ETP à rembourser</text>
  </threadedComment>
  <threadedComment ref="K17" dT="2026-05-21T09:43:17.25" personId="{2C0C59AB-87C1-4FDB-9AF2-6B135B504B70}" id="{F96715B4-4C04-46F6-B2AA-84A27D54417E}">
    <text>Nb d’ETP à rembourser</text>
  </threadedComment>
  <threadedComment ref="N17" dT="2026-05-21T09:43:17.25" personId="{2C0C59AB-87C1-4FDB-9AF2-6B135B504B70}" id="{6E12DE9C-A322-45B1-BA32-E04E95A74C98}">
    <text>Nb d’ETP à rembourser</text>
  </threadedComment>
  <threadedComment ref="Q17" dT="2026-05-21T09:43:17.25" personId="{2C0C59AB-87C1-4FDB-9AF2-6B135B504B70}" id="{257C8307-BC98-42F8-A72A-823BBEE6D0D7}">
    <text>Nb d’ETP à rembourser</text>
  </threadedComment>
  <threadedComment ref="T17" dT="2026-05-21T09:43:17.25" personId="{2C0C59AB-87C1-4FDB-9AF2-6B135B504B70}" id="{0E1B9B60-D10B-4514-9D35-38352D61EBEF}">
    <text>Nb d’ETP à rembourser</text>
  </threadedComment>
  <threadedComment ref="H18" dT="2026-03-03T13:26:16.97" personId="{2C0C59AB-87C1-4FDB-9AF2-6B135B504B70}" id="{A99CEC40-4441-4228-ACD0-A5F3FD3361E4}">
    <text>Moyenne salaire carrière minimum du type de qualif sur l’activité concerné</text>
  </threadedComment>
  <threadedComment ref="K18" dT="2026-03-03T13:26:16.97" personId="{2C0C59AB-87C1-4FDB-9AF2-6B135B504B70}" id="{A9F3B37B-D102-4F1B-82EF-25D626C8A471}">
    <text>Moyenne salaire carrière minimum du type de qualif sur l’activité concerné</text>
  </threadedComment>
  <threadedComment ref="N18" dT="2026-03-03T13:26:16.97" personId="{2C0C59AB-87C1-4FDB-9AF2-6B135B504B70}" id="{D3E648F8-68E5-4766-BB0B-9AED335F6E72}">
    <text>Moyenne salaire carrière minimum du type de qualif sur l’activité concerné</text>
  </threadedComment>
  <threadedComment ref="Q18" dT="2026-03-03T13:26:16.97" personId="{2C0C59AB-87C1-4FDB-9AF2-6B135B504B70}" id="{6BF90F5D-739B-4BC1-A6E8-ECB224F6F4CB}">
    <text>Moyenne salaire carrière minimum du type de qualif sur l’activité concerné</text>
  </threadedComment>
  <threadedComment ref="T18" dT="2026-03-03T13:26:16.97" personId="{2C0C59AB-87C1-4FDB-9AF2-6B135B504B70}" id="{98267071-BAFC-44A2-8544-6FBC896F1ECA}">
    <text>Moyenne salaire carrière minimum du type de qualif sur l’activité concerné</text>
  </threadedComment>
  <threadedComment ref="I29" dT="2026-03-04T11:00:15.64" personId="{2C0C59AB-87C1-4FDB-9AF2-6B135B504B70}" id="{DFACD16B-BBBB-4A8A-8FAC-E6343C571D3C}">
    <text>Nombre d’ETP qui voient leur salaire recalculé sur base d’un C2 qualifié</text>
  </threadedComment>
  <threadedComment ref="J29" dT="2026-03-04T11:00:45.77" personId="{2C0C59AB-87C1-4FDB-9AF2-6B135B504B70}" id="{73B15096-3EE0-49C5-87A7-F131EBE8AA37}">
    <text>Nouvelle marge d’auxiliaire de vie</text>
  </threadedComment>
  <threadedComment ref="D31" dT="2026-03-05T08:45:43.21" personId="{2C0C59AB-87C1-4FDB-9AF2-6B135B504B70}" id="{0C9E4659-0E36-4568-BF40-BD818FE74650}">
    <text>Attention problème formule si le non respect du test vient d’une efficience trop grande ou trop petite et non d’un problème de qualif et s’il n’y a aucune autre qualif que la qualif necessaire. C’est un cas très rare que j’ai prévu uniquement pour le 9.1 car j’ai eu le cas en 2024 mais je ne peux pas le prévoir pour tous les forfaits car j’arrive à la limite de 8.192 caractères dans la formule. Par contre, si on ne tient finalement pas de l’efficience dans le test de plau, on peut supprimer ce iferror dans le forfait 9.1 car le cas n’existera plus.
PS : dans la formule les deux premiers termes sont liés au forfait 7</text>
  </threadedComment>
</ThreadedComments>
</file>

<file path=xl/threadedComments/threadedComment7.xml><?xml version="1.0" encoding="utf-8"?>
<ThreadedComments xmlns="http://schemas.microsoft.com/office/spreadsheetml/2018/threadedcomments" xmlns:x="http://schemas.openxmlformats.org/spreadsheetml/2006/main">
  <threadedComment ref="D3" dT="2026-02-16T13:19:55.74" personId="{2C0C59AB-87C1-4FDB-9AF2-6B135B504B70}" id="{AA95F2FD-6FF1-41C1-AACA-C514DC2336C8}">
    <text>Les ETP ne sont pas affectés par prestation. On contrôle ainsi uniquement le total</text>
  </threadedComment>
  <threadedComment ref="G3" dT="2026-02-16T13:19:55.74" personId="{2C0C59AB-87C1-4FDB-9AF2-6B135B504B70}" id="{B95ECB77-4122-4293-88F4-2F4552157AC6}">
    <text>Les ETP ne sont pas affectés par prestation. On contrôle ainsi uniquement le total</text>
  </threadedComment>
  <threadedComment ref="J3" dT="2026-02-16T13:19:55.74" personId="{2C0C59AB-87C1-4FDB-9AF2-6B135B504B70}" id="{02489248-5649-4AF2-AE56-B3EEE9DF8C48}">
    <text>Les ETP ne sont pas affectés par prestation. On contrôle ainsi uniquement le total</text>
  </threadedComment>
  <threadedComment ref="M3" dT="2026-02-16T13:19:55.74" personId="{2C0C59AB-87C1-4FDB-9AF2-6B135B504B70}" id="{0A13BEAA-6CEE-4EF8-82FE-C8122651932C}">
    <text>Les ETP ne sont pas affectés par prestation. On contrôle ainsi uniquement le total</text>
  </threadedComment>
  <threadedComment ref="P3" dT="2026-02-16T13:19:55.74" personId="{2C0C59AB-87C1-4FDB-9AF2-6B135B504B70}" id="{8B365474-61B1-4F4F-80DB-8B6A9C3D5C25}">
    <text>Les ETP ne sont pas affectés par prestation. On contrôle ainsi uniquement le total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vmlDrawing" Target="../drawings/vmlDrawing4.vml"/><Relationship Id="rId1" Type="http://schemas.openxmlformats.org/officeDocument/2006/relationships/printerSettings" Target="../printerSettings/printerSettings10.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15.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 Id="rId4" Type="http://schemas.microsoft.com/office/2017/10/relationships/threadedComment" Target="../threadedComments/threadedComment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vmlDrawing" Target="../drawings/vmlDrawing1.vml"/><Relationship Id="rId16" Type="http://schemas.microsoft.com/office/2017/10/relationships/threadedComment" Target="../threadedComments/threadedComment1.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comments" Target="../comments1.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sheetPr>
  <dimension ref="A1:AB65"/>
  <sheetViews>
    <sheetView workbookViewId="0">
      <selection activeCell="A26" sqref="A26:XFD26"/>
    </sheetView>
  </sheetViews>
  <sheetFormatPr defaultColWidth="11.5546875" defaultRowHeight="14.4" x14ac:dyDescent="0.3"/>
  <cols>
    <col min="1" max="1" width="13.88671875" customWidth="1"/>
    <col min="2" max="11" width="17.44140625" customWidth="1"/>
    <col min="28" max="28" width="13.88671875" bestFit="1" customWidth="1"/>
  </cols>
  <sheetData>
    <row r="1" spans="1:9" x14ac:dyDescent="0.3">
      <c r="A1" s="1" t="s">
        <v>86</v>
      </c>
    </row>
    <row r="2" spans="1:9" x14ac:dyDescent="0.3">
      <c r="A2" s="509" t="s">
        <v>178</v>
      </c>
      <c r="B2" s="509"/>
      <c r="C2" s="33">
        <f>2703.74/968.04*100</f>
        <v>279.30044213049047</v>
      </c>
    </row>
    <row r="3" spans="1:9" x14ac:dyDescent="0.3">
      <c r="A3" s="509" t="s">
        <v>87</v>
      </c>
      <c r="B3" s="509"/>
      <c r="C3" s="8">
        <v>2.4173300000000002</v>
      </c>
      <c r="D3" s="20"/>
      <c r="G3" s="65"/>
    </row>
    <row r="4" spans="1:9" x14ac:dyDescent="0.3">
      <c r="A4" s="31"/>
      <c r="B4" s="31"/>
      <c r="C4" s="20"/>
      <c r="D4" s="20"/>
    </row>
    <row r="5" spans="1:9" x14ac:dyDescent="0.3">
      <c r="A5" s="32" t="s">
        <v>494</v>
      </c>
      <c r="B5" s="31"/>
      <c r="C5" s="20"/>
      <c r="D5" s="20"/>
      <c r="G5" s="32" t="s">
        <v>407</v>
      </c>
      <c r="H5" s="31"/>
      <c r="I5" s="20"/>
    </row>
    <row r="6" spans="1:9" x14ac:dyDescent="0.3">
      <c r="A6" s="509" t="s">
        <v>177</v>
      </c>
      <c r="B6" s="509"/>
      <c r="C6" s="371">
        <v>944.43</v>
      </c>
      <c r="G6" s="509" t="s">
        <v>177</v>
      </c>
      <c r="H6" s="509"/>
      <c r="I6" s="371">
        <v>0</v>
      </c>
    </row>
    <row r="7" spans="1:9" x14ac:dyDescent="0.3">
      <c r="A7" s="509" t="s">
        <v>199</v>
      </c>
      <c r="B7" s="509"/>
      <c r="C7" s="8">
        <f>ROUND(C3*C6/100,5)</f>
        <v>22.829989999999999</v>
      </c>
      <c r="G7" s="509" t="s">
        <v>199</v>
      </c>
      <c r="H7" s="509"/>
      <c r="I7" s="8">
        <f>ROUND(C3*I6/100,5)</f>
        <v>0</v>
      </c>
    </row>
    <row r="8" spans="1:9" x14ac:dyDescent="0.3">
      <c r="A8" s="509" t="s">
        <v>176</v>
      </c>
      <c r="B8" s="509"/>
      <c r="C8" s="33">
        <f>ROUND($C$2*C6/100*5,2)</f>
        <v>13188.99</v>
      </c>
      <c r="G8" s="509" t="s">
        <v>176</v>
      </c>
      <c r="H8" s="509"/>
      <c r="I8" s="33">
        <f>ROUND($C$2*I6/100*5,2)</f>
        <v>0</v>
      </c>
    </row>
    <row r="9" spans="1:9" x14ac:dyDescent="0.3">
      <c r="A9" s="509" t="s">
        <v>192</v>
      </c>
      <c r="B9" s="509"/>
      <c r="C9" s="208">
        <v>4</v>
      </c>
      <c r="E9" s="84" t="s">
        <v>224</v>
      </c>
      <c r="G9" s="509" t="s">
        <v>192</v>
      </c>
      <c r="H9" s="509"/>
      <c r="I9" s="208">
        <v>0</v>
      </c>
    </row>
    <row r="10" spans="1:9" x14ac:dyDescent="0.3">
      <c r="A10" s="31"/>
      <c r="B10" s="31"/>
      <c r="C10" s="20"/>
      <c r="E10" s="83">
        <f>(C6*C9)/12+(C12*C15)/12+(I6*I9)/12+(I12*I15)/12</f>
        <v>960.17000000000007</v>
      </c>
      <c r="H10" s="21"/>
    </row>
    <row r="11" spans="1:9" x14ac:dyDescent="0.3">
      <c r="A11" s="32" t="s">
        <v>495</v>
      </c>
      <c r="B11" s="31"/>
      <c r="C11" s="20"/>
      <c r="G11" s="32" t="s">
        <v>407</v>
      </c>
      <c r="H11" s="31"/>
      <c r="I11" s="20"/>
    </row>
    <row r="12" spans="1:9" x14ac:dyDescent="0.3">
      <c r="A12" s="509" t="s">
        <v>177</v>
      </c>
      <c r="B12" s="509"/>
      <c r="C12" s="371">
        <v>968.04</v>
      </c>
      <c r="G12" s="509" t="s">
        <v>177</v>
      </c>
      <c r="H12" s="509"/>
      <c r="I12" s="371">
        <v>0</v>
      </c>
    </row>
    <row r="13" spans="1:9" x14ac:dyDescent="0.3">
      <c r="A13" s="509" t="s">
        <v>199</v>
      </c>
      <c r="B13" s="509"/>
      <c r="C13" s="8">
        <f>ROUND(C3*C12/100,5)</f>
        <v>23.40072</v>
      </c>
      <c r="D13" s="20"/>
      <c r="G13" s="509" t="s">
        <v>199</v>
      </c>
      <c r="H13" s="509"/>
      <c r="I13" s="8">
        <f>ROUND(C3*I12/100,5)</f>
        <v>0</v>
      </c>
    </row>
    <row r="14" spans="1:9" x14ac:dyDescent="0.3">
      <c r="A14" s="509" t="s">
        <v>176</v>
      </c>
      <c r="B14" s="509"/>
      <c r="C14" s="33">
        <f>ROUND($C$2*C12*5/100,2)</f>
        <v>13518.7</v>
      </c>
      <c r="D14" s="20"/>
      <c r="G14" s="509" t="s">
        <v>176</v>
      </c>
      <c r="H14" s="509"/>
      <c r="I14" s="33">
        <f>ROUND($C$2*I12/100*5,2)</f>
        <v>0</v>
      </c>
    </row>
    <row r="15" spans="1:9" x14ac:dyDescent="0.3">
      <c r="A15" s="509" t="s">
        <v>192</v>
      </c>
      <c r="B15" s="509"/>
      <c r="C15" s="208">
        <v>8</v>
      </c>
      <c r="D15" s="20"/>
      <c r="G15" s="509" t="s">
        <v>192</v>
      </c>
      <c r="H15" s="509"/>
      <c r="I15" s="208">
        <v>0</v>
      </c>
    </row>
    <row r="16" spans="1:9" x14ac:dyDescent="0.3">
      <c r="A16" s="31"/>
      <c r="B16" s="31"/>
      <c r="C16" s="20"/>
      <c r="D16" s="20"/>
    </row>
    <row r="17" spans="1:28" x14ac:dyDescent="0.3">
      <c r="A17" s="509" t="s">
        <v>202</v>
      </c>
      <c r="B17" s="509"/>
      <c r="C17" s="9">
        <v>0</v>
      </c>
      <c r="D17" s="22"/>
    </row>
    <row r="19" spans="1:28" x14ac:dyDescent="0.3">
      <c r="A19" s="270" t="s">
        <v>79</v>
      </c>
      <c r="B19" s="271" t="s">
        <v>80</v>
      </c>
      <c r="C19" s="271" t="s">
        <v>81</v>
      </c>
      <c r="D19" s="271" t="s">
        <v>81</v>
      </c>
      <c r="E19" s="271" t="s">
        <v>82</v>
      </c>
      <c r="F19" s="271" t="s">
        <v>82</v>
      </c>
      <c r="G19" s="271" t="s">
        <v>61</v>
      </c>
      <c r="H19" s="271" t="s">
        <v>83</v>
      </c>
      <c r="I19" s="271" t="s">
        <v>83</v>
      </c>
      <c r="J19" s="271" t="s">
        <v>84</v>
      </c>
      <c r="K19" s="271" t="s">
        <v>85</v>
      </c>
      <c r="L19" s="271" t="s">
        <v>69</v>
      </c>
      <c r="M19" s="271" t="s">
        <v>69</v>
      </c>
      <c r="N19" s="271" t="s">
        <v>69</v>
      </c>
      <c r="O19" s="271" t="s">
        <v>217</v>
      </c>
      <c r="P19" s="271" t="s">
        <v>218</v>
      </c>
      <c r="Q19" s="271" t="s">
        <v>218</v>
      </c>
      <c r="R19" s="271" t="s">
        <v>218</v>
      </c>
      <c r="S19" s="271" t="s">
        <v>218</v>
      </c>
      <c r="T19" s="271" t="s">
        <v>218</v>
      </c>
      <c r="U19" s="271" t="s">
        <v>70</v>
      </c>
      <c r="V19" s="271" t="s">
        <v>70</v>
      </c>
      <c r="W19" s="271" t="s">
        <v>72</v>
      </c>
      <c r="X19" s="271" t="s">
        <v>72</v>
      </c>
      <c r="Y19" s="271" t="s">
        <v>73</v>
      </c>
      <c r="Z19" s="271" t="s">
        <v>73</v>
      </c>
    </row>
    <row r="20" spans="1:28" x14ac:dyDescent="0.3">
      <c r="A20" s="270" t="s">
        <v>357</v>
      </c>
      <c r="B20" s="271" t="s">
        <v>69</v>
      </c>
      <c r="C20" s="271" t="s">
        <v>159</v>
      </c>
      <c r="D20" s="271" t="s">
        <v>160</v>
      </c>
      <c r="E20" s="271" t="s">
        <v>161</v>
      </c>
      <c r="F20" s="271" t="s">
        <v>162</v>
      </c>
      <c r="G20" s="271" t="s">
        <v>70</v>
      </c>
      <c r="H20" s="271" t="s">
        <v>71</v>
      </c>
      <c r="I20" s="271" t="s">
        <v>179</v>
      </c>
      <c r="J20" s="271" t="s">
        <v>72</v>
      </c>
      <c r="K20" s="271" t="s">
        <v>73</v>
      </c>
      <c r="L20" s="271" t="s">
        <v>66</v>
      </c>
      <c r="M20" s="271" t="s">
        <v>64</v>
      </c>
      <c r="N20" s="271" t="s">
        <v>65</v>
      </c>
      <c r="O20" s="271" t="s">
        <v>63</v>
      </c>
      <c r="P20" s="271" t="s">
        <v>62</v>
      </c>
      <c r="Q20" s="271" t="s">
        <v>57</v>
      </c>
      <c r="R20" s="271" t="s">
        <v>149</v>
      </c>
      <c r="S20" s="271" t="s">
        <v>151</v>
      </c>
      <c r="T20" s="271" t="s">
        <v>52</v>
      </c>
      <c r="U20" s="271" t="s">
        <v>55</v>
      </c>
      <c r="V20" s="271" t="s">
        <v>60</v>
      </c>
      <c r="W20" s="271" t="s">
        <v>54</v>
      </c>
      <c r="X20" s="271" t="s">
        <v>49</v>
      </c>
      <c r="Y20" s="271" t="s">
        <v>59</v>
      </c>
      <c r="Z20" s="271" t="s">
        <v>53</v>
      </c>
    </row>
    <row r="21" spans="1:28" x14ac:dyDescent="0.3">
      <c r="A21" s="6">
        <v>0</v>
      </c>
      <c r="B21" s="6">
        <v>128</v>
      </c>
      <c r="C21" s="6">
        <v>145</v>
      </c>
      <c r="D21" s="6">
        <v>145</v>
      </c>
      <c r="E21" s="6">
        <v>167</v>
      </c>
      <c r="F21" s="6">
        <v>167</v>
      </c>
      <c r="G21" s="6">
        <v>210</v>
      </c>
      <c r="H21" s="6">
        <v>237</v>
      </c>
      <c r="I21" s="6">
        <v>252</v>
      </c>
      <c r="J21" s="6">
        <v>321</v>
      </c>
      <c r="K21" s="6">
        <v>354</v>
      </c>
      <c r="L21" s="2">
        <v>117</v>
      </c>
      <c r="M21" s="2">
        <v>145</v>
      </c>
      <c r="N21" s="2">
        <v>140</v>
      </c>
      <c r="O21" s="2">
        <v>159</v>
      </c>
      <c r="P21" s="2">
        <v>167</v>
      </c>
      <c r="Q21" s="2">
        <v>180</v>
      </c>
      <c r="R21" s="7">
        <v>157</v>
      </c>
      <c r="S21" s="7">
        <v>157</v>
      </c>
      <c r="T21" s="2">
        <v>157</v>
      </c>
      <c r="U21" s="2">
        <v>210</v>
      </c>
      <c r="V21" s="2">
        <v>210</v>
      </c>
      <c r="W21" s="2">
        <v>222</v>
      </c>
      <c r="X21" s="2">
        <v>286</v>
      </c>
      <c r="Y21" s="2">
        <v>359</v>
      </c>
      <c r="Z21" s="2">
        <v>359</v>
      </c>
    </row>
    <row r="22" spans="1:28" x14ac:dyDescent="0.3">
      <c r="A22" s="6">
        <v>1</v>
      </c>
      <c r="B22" s="6">
        <v>128</v>
      </c>
      <c r="C22" s="6">
        <v>145</v>
      </c>
      <c r="D22" s="6">
        <v>145</v>
      </c>
      <c r="E22" s="6">
        <v>167</v>
      </c>
      <c r="F22" s="6">
        <v>167</v>
      </c>
      <c r="G22" s="6">
        <v>210</v>
      </c>
      <c r="H22" s="6">
        <v>237</v>
      </c>
      <c r="I22" s="6">
        <v>252</v>
      </c>
      <c r="J22" s="6">
        <v>321</v>
      </c>
      <c r="K22" s="6">
        <v>354</v>
      </c>
      <c r="L22" s="2">
        <v>119</v>
      </c>
      <c r="M22" s="2">
        <v>148</v>
      </c>
      <c r="N22" s="2">
        <v>140</v>
      </c>
      <c r="O22" s="2">
        <v>163</v>
      </c>
      <c r="P22" s="2">
        <v>173</v>
      </c>
      <c r="Q22" s="2">
        <v>185</v>
      </c>
      <c r="R22" s="7">
        <v>162</v>
      </c>
      <c r="S22" s="7">
        <v>162</v>
      </c>
      <c r="T22" s="2">
        <v>162</v>
      </c>
      <c r="U22" s="2">
        <v>215</v>
      </c>
      <c r="V22" s="2">
        <v>215</v>
      </c>
      <c r="W22" s="2">
        <v>222</v>
      </c>
      <c r="X22" s="2">
        <v>297</v>
      </c>
      <c r="Y22" s="2">
        <v>367</v>
      </c>
      <c r="Z22" s="2">
        <v>367</v>
      </c>
    </row>
    <row r="23" spans="1:28" x14ac:dyDescent="0.3">
      <c r="A23" s="6">
        <v>2</v>
      </c>
      <c r="B23" s="6">
        <v>134</v>
      </c>
      <c r="C23" s="6">
        <v>152</v>
      </c>
      <c r="D23" s="6">
        <v>152</v>
      </c>
      <c r="E23" s="6">
        <v>176</v>
      </c>
      <c r="F23" s="6">
        <v>176</v>
      </c>
      <c r="G23" s="6">
        <v>221</v>
      </c>
      <c r="H23" s="6">
        <v>249</v>
      </c>
      <c r="I23" s="6">
        <v>264</v>
      </c>
      <c r="J23" s="6">
        <v>338</v>
      </c>
      <c r="K23" s="6">
        <v>373</v>
      </c>
      <c r="L23" s="2">
        <v>122</v>
      </c>
      <c r="M23" s="2">
        <v>152</v>
      </c>
      <c r="N23" s="2">
        <v>149</v>
      </c>
      <c r="O23" s="2">
        <v>168</v>
      </c>
      <c r="P23" s="2">
        <v>178</v>
      </c>
      <c r="Q23" s="2">
        <v>190</v>
      </c>
      <c r="R23" s="7">
        <v>166</v>
      </c>
      <c r="S23" s="7">
        <v>166</v>
      </c>
      <c r="T23" s="2">
        <v>167</v>
      </c>
      <c r="U23" s="2">
        <v>223</v>
      </c>
      <c r="V23" s="2">
        <v>223</v>
      </c>
      <c r="W23" s="2">
        <v>226</v>
      </c>
      <c r="X23" s="2">
        <v>307</v>
      </c>
      <c r="Y23" s="2">
        <v>375</v>
      </c>
      <c r="Z23" s="2">
        <v>375</v>
      </c>
    </row>
    <row r="24" spans="1:28" x14ac:dyDescent="0.3">
      <c r="A24" s="6">
        <v>3</v>
      </c>
      <c r="B24" s="6">
        <v>136</v>
      </c>
      <c r="C24" s="6">
        <v>156</v>
      </c>
      <c r="D24" s="6">
        <v>156</v>
      </c>
      <c r="E24" s="6">
        <v>181</v>
      </c>
      <c r="F24" s="6">
        <v>181</v>
      </c>
      <c r="G24" s="6">
        <v>226</v>
      </c>
      <c r="H24" s="6">
        <v>255</v>
      </c>
      <c r="I24" s="6">
        <v>270</v>
      </c>
      <c r="J24" s="6">
        <v>345</v>
      </c>
      <c r="K24" s="6">
        <v>380</v>
      </c>
      <c r="L24" s="2">
        <v>124</v>
      </c>
      <c r="M24" s="2">
        <v>156</v>
      </c>
      <c r="N24" s="2">
        <v>149</v>
      </c>
      <c r="O24" s="2">
        <v>172</v>
      </c>
      <c r="P24" s="2">
        <v>184</v>
      </c>
      <c r="Q24" s="2">
        <v>195</v>
      </c>
      <c r="R24" s="7">
        <v>171</v>
      </c>
      <c r="S24" s="7">
        <v>171</v>
      </c>
      <c r="T24" s="2">
        <v>173</v>
      </c>
      <c r="U24" s="2">
        <v>229</v>
      </c>
      <c r="V24" s="2">
        <v>229</v>
      </c>
      <c r="W24" s="2">
        <v>226</v>
      </c>
      <c r="X24" s="2">
        <v>318</v>
      </c>
      <c r="Y24" s="2">
        <v>383</v>
      </c>
      <c r="Z24" s="2">
        <v>383</v>
      </c>
      <c r="AB24" s="20"/>
    </row>
    <row r="25" spans="1:28" x14ac:dyDescent="0.3">
      <c r="A25" s="6">
        <v>4</v>
      </c>
      <c r="B25" s="6">
        <v>138</v>
      </c>
      <c r="C25" s="6">
        <v>159</v>
      </c>
      <c r="D25" s="6">
        <v>159</v>
      </c>
      <c r="E25" s="6">
        <v>186</v>
      </c>
      <c r="F25" s="6">
        <v>186</v>
      </c>
      <c r="G25" s="6">
        <v>232</v>
      </c>
      <c r="H25" s="6">
        <v>261</v>
      </c>
      <c r="I25" s="6">
        <v>276</v>
      </c>
      <c r="J25" s="6">
        <v>351</v>
      </c>
      <c r="K25" s="6">
        <v>386</v>
      </c>
      <c r="L25" s="2">
        <v>127</v>
      </c>
      <c r="M25" s="2">
        <v>160</v>
      </c>
      <c r="N25" s="2">
        <v>158</v>
      </c>
      <c r="O25" s="2">
        <v>178</v>
      </c>
      <c r="P25" s="2">
        <v>189</v>
      </c>
      <c r="Q25" s="2">
        <v>200</v>
      </c>
      <c r="R25" s="7">
        <v>176</v>
      </c>
      <c r="S25" s="7">
        <v>176</v>
      </c>
      <c r="T25" s="2">
        <v>178</v>
      </c>
      <c r="U25" s="2">
        <v>236</v>
      </c>
      <c r="V25" s="2">
        <v>236</v>
      </c>
      <c r="W25" s="2">
        <v>230</v>
      </c>
      <c r="X25" s="2">
        <v>329</v>
      </c>
      <c r="Y25" s="2">
        <v>392</v>
      </c>
      <c r="Z25" s="2">
        <v>392</v>
      </c>
    </row>
    <row r="26" spans="1:28" x14ac:dyDescent="0.3">
      <c r="A26" s="6">
        <v>5</v>
      </c>
      <c r="B26" s="6">
        <v>140</v>
      </c>
      <c r="C26" s="6">
        <v>163</v>
      </c>
      <c r="D26" s="6">
        <v>163</v>
      </c>
      <c r="E26" s="6">
        <v>191</v>
      </c>
      <c r="F26" s="6">
        <v>191</v>
      </c>
      <c r="G26" s="6">
        <v>238</v>
      </c>
      <c r="H26" s="6">
        <v>267</v>
      </c>
      <c r="I26" s="6">
        <v>282</v>
      </c>
      <c r="J26" s="6">
        <v>357</v>
      </c>
      <c r="K26" s="6">
        <v>392</v>
      </c>
      <c r="L26" s="2">
        <v>129</v>
      </c>
      <c r="M26" s="2">
        <v>164</v>
      </c>
      <c r="N26" s="2">
        <v>158</v>
      </c>
      <c r="O26" s="2">
        <v>181</v>
      </c>
      <c r="P26" s="2">
        <v>195</v>
      </c>
      <c r="Q26" s="2">
        <v>205</v>
      </c>
      <c r="R26" s="7">
        <v>180</v>
      </c>
      <c r="S26" s="7">
        <v>180</v>
      </c>
      <c r="T26" s="2">
        <v>183</v>
      </c>
      <c r="U26" s="2">
        <v>242</v>
      </c>
      <c r="V26" s="2">
        <v>242</v>
      </c>
      <c r="W26" s="2">
        <v>230</v>
      </c>
      <c r="X26" s="2">
        <v>339</v>
      </c>
      <c r="Y26" s="2">
        <v>400</v>
      </c>
      <c r="Z26" s="2">
        <v>400</v>
      </c>
      <c r="AB26" s="21"/>
    </row>
    <row r="27" spans="1:28" x14ac:dyDescent="0.3">
      <c r="A27" s="6">
        <v>6</v>
      </c>
      <c r="B27" s="6">
        <v>142</v>
      </c>
      <c r="C27" s="6">
        <v>166</v>
      </c>
      <c r="D27" s="6">
        <v>166</v>
      </c>
      <c r="E27" s="6">
        <v>197</v>
      </c>
      <c r="F27" s="6">
        <v>197</v>
      </c>
      <c r="G27" s="6">
        <v>244</v>
      </c>
      <c r="H27" s="6">
        <v>273</v>
      </c>
      <c r="I27" s="6">
        <v>288</v>
      </c>
      <c r="J27" s="6">
        <v>363</v>
      </c>
      <c r="K27" s="6">
        <v>398</v>
      </c>
      <c r="L27" s="2">
        <v>131</v>
      </c>
      <c r="M27" s="2">
        <v>168</v>
      </c>
      <c r="N27" s="2">
        <v>167</v>
      </c>
      <c r="O27" s="2">
        <v>187</v>
      </c>
      <c r="P27" s="2">
        <v>200</v>
      </c>
      <c r="Q27" s="2">
        <v>210</v>
      </c>
      <c r="R27" s="7">
        <v>185</v>
      </c>
      <c r="S27" s="7">
        <v>185</v>
      </c>
      <c r="T27" s="2">
        <v>188</v>
      </c>
      <c r="U27" s="2">
        <v>249</v>
      </c>
      <c r="V27" s="2">
        <v>249</v>
      </c>
      <c r="W27" s="2">
        <v>230</v>
      </c>
      <c r="X27" s="2">
        <v>350</v>
      </c>
      <c r="Y27" s="2">
        <v>408</v>
      </c>
      <c r="Z27" s="2">
        <v>408</v>
      </c>
    </row>
    <row r="28" spans="1:28" x14ac:dyDescent="0.3">
      <c r="A28" s="6">
        <v>7</v>
      </c>
      <c r="B28" s="6">
        <v>145</v>
      </c>
      <c r="C28" s="6">
        <v>170</v>
      </c>
      <c r="D28" s="6">
        <v>170</v>
      </c>
      <c r="E28" s="6">
        <v>201</v>
      </c>
      <c r="F28" s="6">
        <v>201</v>
      </c>
      <c r="G28" s="6">
        <v>250</v>
      </c>
      <c r="H28" s="6">
        <v>279</v>
      </c>
      <c r="I28" s="6">
        <v>294</v>
      </c>
      <c r="J28" s="6">
        <v>370</v>
      </c>
      <c r="K28" s="6">
        <v>405</v>
      </c>
      <c r="L28" s="2">
        <v>134</v>
      </c>
      <c r="M28" s="2">
        <v>172</v>
      </c>
      <c r="N28" s="2">
        <v>167</v>
      </c>
      <c r="O28" s="2">
        <v>190</v>
      </c>
      <c r="P28" s="2">
        <v>206</v>
      </c>
      <c r="Q28" s="2">
        <v>215</v>
      </c>
      <c r="R28" s="7">
        <v>190</v>
      </c>
      <c r="S28" s="7">
        <v>190</v>
      </c>
      <c r="T28" s="2">
        <v>194</v>
      </c>
      <c r="U28" s="2">
        <v>256</v>
      </c>
      <c r="V28" s="2">
        <v>256</v>
      </c>
      <c r="W28" s="2"/>
      <c r="X28" s="2">
        <v>360</v>
      </c>
      <c r="Y28" s="2">
        <v>449</v>
      </c>
      <c r="Z28" s="2">
        <v>449</v>
      </c>
    </row>
    <row r="29" spans="1:28" x14ac:dyDescent="0.3">
      <c r="A29" s="6">
        <v>8</v>
      </c>
      <c r="B29" s="6">
        <v>148</v>
      </c>
      <c r="C29" s="6">
        <v>173</v>
      </c>
      <c r="D29" s="6">
        <v>173</v>
      </c>
      <c r="E29" s="6">
        <v>206</v>
      </c>
      <c r="F29" s="6">
        <v>206</v>
      </c>
      <c r="G29" s="6">
        <v>256</v>
      </c>
      <c r="H29" s="6">
        <v>285</v>
      </c>
      <c r="I29" s="6">
        <v>300</v>
      </c>
      <c r="J29" s="6">
        <v>376</v>
      </c>
      <c r="K29" s="6">
        <v>411</v>
      </c>
      <c r="L29" s="2">
        <v>136</v>
      </c>
      <c r="M29" s="2">
        <v>176</v>
      </c>
      <c r="N29" s="2">
        <v>176</v>
      </c>
      <c r="O29" s="2">
        <v>196</v>
      </c>
      <c r="P29" s="2">
        <v>211</v>
      </c>
      <c r="Q29" s="2">
        <v>221</v>
      </c>
      <c r="R29" s="7">
        <v>194</v>
      </c>
      <c r="S29" s="7">
        <v>194</v>
      </c>
      <c r="T29" s="2">
        <v>199</v>
      </c>
      <c r="U29" s="2">
        <v>262</v>
      </c>
      <c r="V29" s="2">
        <v>262</v>
      </c>
      <c r="W29" s="2"/>
      <c r="X29" s="2">
        <v>371</v>
      </c>
      <c r="Y29" s="2">
        <v>458</v>
      </c>
      <c r="Z29" s="2">
        <v>458</v>
      </c>
    </row>
    <row r="30" spans="1:28" x14ac:dyDescent="0.3">
      <c r="A30" s="6">
        <v>9</v>
      </c>
      <c r="B30" s="6">
        <v>150</v>
      </c>
      <c r="C30" s="6">
        <v>177</v>
      </c>
      <c r="D30" s="6">
        <v>177</v>
      </c>
      <c r="E30" s="6">
        <v>211</v>
      </c>
      <c r="F30" s="6">
        <v>211</v>
      </c>
      <c r="G30" s="6">
        <v>262</v>
      </c>
      <c r="H30" s="6">
        <v>292</v>
      </c>
      <c r="I30" s="6">
        <v>307</v>
      </c>
      <c r="J30" s="6">
        <v>382</v>
      </c>
      <c r="K30" s="6">
        <v>418</v>
      </c>
      <c r="L30" s="2">
        <v>139</v>
      </c>
      <c r="M30" s="2">
        <v>180</v>
      </c>
      <c r="N30" s="2">
        <v>176</v>
      </c>
      <c r="O30" s="2">
        <v>201</v>
      </c>
      <c r="P30" s="2">
        <v>217</v>
      </c>
      <c r="Q30" s="2">
        <v>225</v>
      </c>
      <c r="R30" s="7">
        <v>199</v>
      </c>
      <c r="S30" s="7">
        <v>199</v>
      </c>
      <c r="T30" s="2">
        <v>204</v>
      </c>
      <c r="U30" s="2">
        <v>269</v>
      </c>
      <c r="V30" s="2">
        <v>269</v>
      </c>
      <c r="W30" s="2"/>
      <c r="X30" s="2">
        <v>381</v>
      </c>
      <c r="Y30" s="2">
        <v>465</v>
      </c>
      <c r="Z30" s="2">
        <v>465</v>
      </c>
    </row>
    <row r="31" spans="1:28" x14ac:dyDescent="0.3">
      <c r="A31" s="6">
        <v>10</v>
      </c>
      <c r="B31" s="6">
        <v>152</v>
      </c>
      <c r="C31" s="6">
        <v>180</v>
      </c>
      <c r="D31" s="6">
        <v>180</v>
      </c>
      <c r="E31" s="6">
        <v>217</v>
      </c>
      <c r="F31" s="6">
        <v>217</v>
      </c>
      <c r="G31" s="6">
        <v>267</v>
      </c>
      <c r="H31" s="6">
        <v>299</v>
      </c>
      <c r="I31" s="6">
        <v>314</v>
      </c>
      <c r="J31" s="6">
        <v>389</v>
      </c>
      <c r="K31" s="6">
        <v>424</v>
      </c>
      <c r="L31" s="2">
        <v>141</v>
      </c>
      <c r="M31" s="2">
        <v>184</v>
      </c>
      <c r="N31" s="2">
        <v>185</v>
      </c>
      <c r="O31" s="2">
        <v>205</v>
      </c>
      <c r="P31" s="2">
        <v>223</v>
      </c>
      <c r="Q31" s="2">
        <v>230</v>
      </c>
      <c r="R31" s="7">
        <v>204</v>
      </c>
      <c r="S31" s="7">
        <v>204</v>
      </c>
      <c r="T31" s="2">
        <v>209</v>
      </c>
      <c r="U31" s="2">
        <v>275</v>
      </c>
      <c r="V31" s="2">
        <v>275</v>
      </c>
      <c r="W31" s="2"/>
      <c r="X31" s="2">
        <v>392</v>
      </c>
      <c r="Y31" s="2">
        <v>473</v>
      </c>
      <c r="Z31" s="2">
        <v>473</v>
      </c>
    </row>
    <row r="32" spans="1:28" x14ac:dyDescent="0.3">
      <c r="A32" s="6">
        <v>11</v>
      </c>
      <c r="B32" s="6">
        <v>155</v>
      </c>
      <c r="C32" s="6">
        <v>183</v>
      </c>
      <c r="D32" s="6">
        <v>183</v>
      </c>
      <c r="E32" s="6">
        <v>221</v>
      </c>
      <c r="F32" s="6">
        <v>221</v>
      </c>
      <c r="G32" s="6">
        <v>273</v>
      </c>
      <c r="H32" s="6">
        <v>305</v>
      </c>
      <c r="I32" s="6">
        <v>320</v>
      </c>
      <c r="J32" s="6">
        <v>395</v>
      </c>
      <c r="K32" s="6">
        <v>430</v>
      </c>
      <c r="L32" s="2">
        <v>144</v>
      </c>
      <c r="M32" s="2">
        <v>188</v>
      </c>
      <c r="N32" s="2">
        <v>185</v>
      </c>
      <c r="O32" s="2">
        <v>210</v>
      </c>
      <c r="P32" s="2">
        <v>228</v>
      </c>
      <c r="Q32" s="2">
        <v>234</v>
      </c>
      <c r="R32" s="7">
        <v>208</v>
      </c>
      <c r="S32" s="7">
        <v>208</v>
      </c>
      <c r="T32" s="2">
        <v>215</v>
      </c>
      <c r="U32" s="2">
        <v>282</v>
      </c>
      <c r="V32" s="2">
        <v>282</v>
      </c>
      <c r="W32" s="2"/>
      <c r="X32" s="2">
        <v>403</v>
      </c>
      <c r="Y32" s="2">
        <v>482</v>
      </c>
      <c r="Z32" s="2">
        <v>482</v>
      </c>
    </row>
    <row r="33" spans="1:26" x14ac:dyDescent="0.3">
      <c r="A33" s="6">
        <v>12</v>
      </c>
      <c r="B33" s="6">
        <v>157</v>
      </c>
      <c r="C33" s="6">
        <v>187</v>
      </c>
      <c r="D33" s="6">
        <v>187</v>
      </c>
      <c r="E33" s="6">
        <v>226</v>
      </c>
      <c r="F33" s="6">
        <v>226</v>
      </c>
      <c r="G33" s="6">
        <v>279</v>
      </c>
      <c r="H33" s="6">
        <v>311</v>
      </c>
      <c r="I33" s="6">
        <v>326</v>
      </c>
      <c r="J33" s="6">
        <v>401</v>
      </c>
      <c r="K33" s="6">
        <v>437</v>
      </c>
      <c r="L33" s="2">
        <v>146</v>
      </c>
      <c r="M33" s="2">
        <v>192</v>
      </c>
      <c r="N33" s="2">
        <v>193</v>
      </c>
      <c r="O33" s="2">
        <v>214</v>
      </c>
      <c r="P33" s="2">
        <v>234</v>
      </c>
      <c r="Q33" s="2">
        <v>239</v>
      </c>
      <c r="R33" s="7">
        <v>213</v>
      </c>
      <c r="S33" s="7">
        <v>213</v>
      </c>
      <c r="T33" s="2">
        <v>220</v>
      </c>
      <c r="U33" s="2">
        <v>288</v>
      </c>
      <c r="V33" s="2">
        <v>288</v>
      </c>
      <c r="W33" s="2"/>
      <c r="X33" s="2">
        <v>413</v>
      </c>
      <c r="Y33" s="2">
        <v>490</v>
      </c>
      <c r="Z33" s="2">
        <v>490</v>
      </c>
    </row>
    <row r="34" spans="1:26" x14ac:dyDescent="0.3">
      <c r="A34" s="6">
        <v>13</v>
      </c>
      <c r="B34" s="6">
        <v>159</v>
      </c>
      <c r="C34" s="6">
        <v>190</v>
      </c>
      <c r="D34" s="6">
        <v>190</v>
      </c>
      <c r="E34" s="6">
        <v>231</v>
      </c>
      <c r="F34" s="6">
        <v>231</v>
      </c>
      <c r="G34" s="6">
        <v>285</v>
      </c>
      <c r="H34" s="6">
        <v>317</v>
      </c>
      <c r="I34" s="6">
        <v>332</v>
      </c>
      <c r="J34" s="6">
        <v>408</v>
      </c>
      <c r="K34" s="6">
        <v>443</v>
      </c>
      <c r="L34" s="2">
        <v>148</v>
      </c>
      <c r="M34" s="2">
        <v>196</v>
      </c>
      <c r="N34" s="2">
        <v>193</v>
      </c>
      <c r="O34" s="2">
        <v>219</v>
      </c>
      <c r="P34" s="2">
        <v>239</v>
      </c>
      <c r="Q34" s="2">
        <v>244</v>
      </c>
      <c r="R34" s="7">
        <v>218</v>
      </c>
      <c r="S34" s="7">
        <v>218</v>
      </c>
      <c r="T34" s="2">
        <v>225</v>
      </c>
      <c r="U34" s="2">
        <v>295</v>
      </c>
      <c r="V34" s="2">
        <v>295</v>
      </c>
      <c r="W34" s="2"/>
      <c r="X34" s="2">
        <v>424</v>
      </c>
      <c r="Y34" s="2">
        <v>498</v>
      </c>
      <c r="Z34" s="2">
        <v>498</v>
      </c>
    </row>
    <row r="35" spans="1:26" x14ac:dyDescent="0.3">
      <c r="A35" s="6">
        <v>14</v>
      </c>
      <c r="B35" s="6">
        <v>162</v>
      </c>
      <c r="C35" s="6">
        <v>194</v>
      </c>
      <c r="D35" s="6">
        <v>194</v>
      </c>
      <c r="E35" s="6">
        <v>237</v>
      </c>
      <c r="F35" s="6">
        <v>237</v>
      </c>
      <c r="G35" s="6">
        <v>291</v>
      </c>
      <c r="H35" s="6">
        <v>324</v>
      </c>
      <c r="I35" s="6">
        <v>339</v>
      </c>
      <c r="J35" s="6">
        <v>414</v>
      </c>
      <c r="K35" s="6">
        <v>450</v>
      </c>
      <c r="L35" s="2">
        <v>151</v>
      </c>
      <c r="M35" s="2">
        <v>200</v>
      </c>
      <c r="N35" s="2">
        <v>201</v>
      </c>
      <c r="O35" s="2">
        <v>223</v>
      </c>
      <c r="P35" s="2">
        <v>245</v>
      </c>
      <c r="Q35" s="2">
        <v>249</v>
      </c>
      <c r="R35" s="7">
        <v>222</v>
      </c>
      <c r="S35" s="7">
        <v>222</v>
      </c>
      <c r="T35" s="2">
        <v>230</v>
      </c>
      <c r="U35" s="2">
        <v>301</v>
      </c>
      <c r="V35" s="2">
        <v>301</v>
      </c>
      <c r="W35" s="2"/>
      <c r="X35" s="2">
        <v>434</v>
      </c>
      <c r="Y35" s="2">
        <v>506</v>
      </c>
      <c r="Z35" s="2">
        <v>506</v>
      </c>
    </row>
    <row r="36" spans="1:26" x14ac:dyDescent="0.3">
      <c r="A36" s="6">
        <v>15</v>
      </c>
      <c r="B36" s="6">
        <v>164</v>
      </c>
      <c r="C36" s="6">
        <v>197</v>
      </c>
      <c r="D36" s="6">
        <v>197</v>
      </c>
      <c r="E36" s="6">
        <v>241</v>
      </c>
      <c r="F36" s="6">
        <v>241</v>
      </c>
      <c r="G36" s="6">
        <v>297</v>
      </c>
      <c r="H36" s="6">
        <v>330</v>
      </c>
      <c r="I36" s="6">
        <v>345</v>
      </c>
      <c r="J36" s="6">
        <v>420</v>
      </c>
      <c r="K36" s="6">
        <v>456</v>
      </c>
      <c r="L36" s="2">
        <v>153</v>
      </c>
      <c r="M36" s="2">
        <v>204</v>
      </c>
      <c r="N36" s="2">
        <v>201</v>
      </c>
      <c r="O36" s="2">
        <v>228</v>
      </c>
      <c r="P36" s="2">
        <v>250</v>
      </c>
      <c r="Q36" s="2">
        <v>254</v>
      </c>
      <c r="R36" s="7">
        <v>227</v>
      </c>
      <c r="S36" s="7">
        <v>227</v>
      </c>
      <c r="T36" s="2">
        <v>235</v>
      </c>
      <c r="U36" s="2">
        <v>308</v>
      </c>
      <c r="V36" s="2">
        <v>308</v>
      </c>
      <c r="W36" s="2"/>
      <c r="X36" s="2">
        <v>445</v>
      </c>
      <c r="Y36" s="2">
        <v>515</v>
      </c>
      <c r="Z36" s="2">
        <v>515</v>
      </c>
    </row>
    <row r="37" spans="1:26" x14ac:dyDescent="0.3">
      <c r="A37" s="6">
        <v>16</v>
      </c>
      <c r="B37" s="6">
        <v>166</v>
      </c>
      <c r="C37" s="6">
        <v>201</v>
      </c>
      <c r="D37" s="6">
        <v>201</v>
      </c>
      <c r="E37" s="6">
        <v>246</v>
      </c>
      <c r="F37" s="6">
        <v>246</v>
      </c>
      <c r="G37" s="6">
        <v>302</v>
      </c>
      <c r="H37" s="6">
        <v>336</v>
      </c>
      <c r="I37" s="6">
        <v>351</v>
      </c>
      <c r="J37" s="6">
        <v>427</v>
      </c>
      <c r="K37" s="6">
        <v>462</v>
      </c>
      <c r="L37" s="2">
        <v>156</v>
      </c>
      <c r="M37" s="2">
        <v>208</v>
      </c>
      <c r="N37" s="2">
        <v>209</v>
      </c>
      <c r="O37" s="2">
        <v>230</v>
      </c>
      <c r="P37" s="2">
        <v>256</v>
      </c>
      <c r="Q37" s="2">
        <v>259</v>
      </c>
      <c r="R37" s="7">
        <v>232</v>
      </c>
      <c r="S37" s="7">
        <v>232</v>
      </c>
      <c r="T37" s="2">
        <v>241</v>
      </c>
      <c r="U37" s="2">
        <v>315</v>
      </c>
      <c r="V37" s="2">
        <v>315</v>
      </c>
      <c r="W37" s="2"/>
      <c r="X37" s="2">
        <v>455</v>
      </c>
      <c r="Y37" s="2">
        <v>522</v>
      </c>
      <c r="Z37" s="2">
        <v>522</v>
      </c>
    </row>
    <row r="38" spans="1:26" x14ac:dyDescent="0.3">
      <c r="A38" s="6">
        <v>17</v>
      </c>
      <c r="B38" s="6">
        <v>169</v>
      </c>
      <c r="C38" s="6">
        <v>204</v>
      </c>
      <c r="D38" s="6">
        <v>204</v>
      </c>
      <c r="E38" s="6">
        <v>251</v>
      </c>
      <c r="F38" s="6">
        <v>251</v>
      </c>
      <c r="G38" s="6">
        <v>308</v>
      </c>
      <c r="H38" s="6">
        <v>342</v>
      </c>
      <c r="I38" s="6">
        <v>357</v>
      </c>
      <c r="J38" s="6">
        <v>433</v>
      </c>
      <c r="K38" s="6">
        <v>469</v>
      </c>
      <c r="L38" s="2">
        <v>158</v>
      </c>
      <c r="M38" s="2">
        <v>212</v>
      </c>
      <c r="N38" s="2">
        <v>209</v>
      </c>
      <c r="O38" s="2">
        <v>231</v>
      </c>
      <c r="P38" s="2">
        <v>261</v>
      </c>
      <c r="Q38" s="2">
        <v>264</v>
      </c>
      <c r="R38" s="7">
        <v>236</v>
      </c>
      <c r="S38" s="7">
        <v>236</v>
      </c>
      <c r="T38" s="2">
        <v>246</v>
      </c>
      <c r="U38" s="2">
        <v>319</v>
      </c>
      <c r="V38" s="2">
        <v>319</v>
      </c>
      <c r="W38" s="2"/>
      <c r="X38" s="2">
        <v>466</v>
      </c>
      <c r="Y38" s="2">
        <v>522</v>
      </c>
      <c r="Z38" s="2">
        <v>522</v>
      </c>
    </row>
    <row r="39" spans="1:26" x14ac:dyDescent="0.3">
      <c r="A39" s="6">
        <v>18</v>
      </c>
      <c r="B39" s="6">
        <v>171</v>
      </c>
      <c r="C39" s="6">
        <v>208</v>
      </c>
      <c r="D39" s="6">
        <v>208</v>
      </c>
      <c r="E39" s="6">
        <v>256</v>
      </c>
      <c r="F39" s="6">
        <v>256</v>
      </c>
      <c r="G39" s="6">
        <v>314</v>
      </c>
      <c r="H39" s="6">
        <v>349</v>
      </c>
      <c r="I39" s="6">
        <v>364</v>
      </c>
      <c r="J39" s="6">
        <v>439</v>
      </c>
      <c r="K39" s="6">
        <v>475</v>
      </c>
      <c r="L39" s="2">
        <v>160</v>
      </c>
      <c r="M39" s="2">
        <v>213</v>
      </c>
      <c r="N39" s="2">
        <v>217</v>
      </c>
      <c r="O39" s="2">
        <v>233</v>
      </c>
      <c r="P39" s="2">
        <v>263</v>
      </c>
      <c r="Q39" s="2">
        <v>269</v>
      </c>
      <c r="R39" s="7">
        <v>241</v>
      </c>
      <c r="S39" s="7">
        <v>241</v>
      </c>
      <c r="T39" s="2">
        <v>251</v>
      </c>
      <c r="U39" s="2">
        <v>323</v>
      </c>
      <c r="V39" s="2">
        <v>323</v>
      </c>
      <c r="W39" s="2"/>
      <c r="X39" s="2">
        <v>477</v>
      </c>
      <c r="Y39" s="2">
        <v>522</v>
      </c>
      <c r="Z39" s="2">
        <v>522</v>
      </c>
    </row>
    <row r="40" spans="1:26" x14ac:dyDescent="0.3">
      <c r="A40" s="6">
        <v>19</v>
      </c>
      <c r="B40" s="6">
        <v>174</v>
      </c>
      <c r="C40" s="6">
        <v>211</v>
      </c>
      <c r="D40" s="6">
        <v>211</v>
      </c>
      <c r="E40" s="6">
        <v>261</v>
      </c>
      <c r="F40" s="6">
        <v>261</v>
      </c>
      <c r="G40" s="6">
        <v>320</v>
      </c>
      <c r="H40" s="6">
        <v>355</v>
      </c>
      <c r="I40" s="6">
        <v>370</v>
      </c>
      <c r="J40" s="6">
        <v>445</v>
      </c>
      <c r="K40" s="6">
        <v>482</v>
      </c>
      <c r="L40" s="2">
        <v>163</v>
      </c>
      <c r="M40" s="2">
        <v>215</v>
      </c>
      <c r="N40" s="2">
        <v>217</v>
      </c>
      <c r="O40" s="2">
        <v>235</v>
      </c>
      <c r="P40" s="2">
        <v>265</v>
      </c>
      <c r="Q40" s="2">
        <v>274</v>
      </c>
      <c r="R40" s="7">
        <v>246</v>
      </c>
      <c r="S40" s="7">
        <v>246</v>
      </c>
      <c r="T40" s="2">
        <v>256</v>
      </c>
      <c r="U40" s="2">
        <v>327</v>
      </c>
      <c r="V40" s="2">
        <v>327</v>
      </c>
      <c r="W40" s="2"/>
      <c r="X40" s="2">
        <v>487</v>
      </c>
      <c r="Y40" s="2">
        <v>522</v>
      </c>
      <c r="Z40" s="2">
        <v>522</v>
      </c>
    </row>
    <row r="41" spans="1:26" x14ac:dyDescent="0.3">
      <c r="A41" s="6">
        <v>20</v>
      </c>
      <c r="B41" s="6">
        <v>176</v>
      </c>
      <c r="C41" s="6">
        <v>215</v>
      </c>
      <c r="D41" s="6">
        <v>215</v>
      </c>
      <c r="E41" s="6">
        <v>266</v>
      </c>
      <c r="F41" s="6">
        <v>266</v>
      </c>
      <c r="G41" s="6">
        <v>326</v>
      </c>
      <c r="H41" s="6">
        <v>361</v>
      </c>
      <c r="I41" s="6">
        <v>376</v>
      </c>
      <c r="J41" s="6">
        <v>452</v>
      </c>
      <c r="K41" s="6">
        <v>488</v>
      </c>
      <c r="L41" s="2">
        <v>165</v>
      </c>
      <c r="M41" s="2">
        <v>217</v>
      </c>
      <c r="N41" s="2">
        <v>225</v>
      </c>
      <c r="O41" s="2">
        <v>236</v>
      </c>
      <c r="P41" s="2">
        <v>267</v>
      </c>
      <c r="Q41" s="2">
        <v>279</v>
      </c>
      <c r="R41" s="7">
        <v>250</v>
      </c>
      <c r="S41" s="7">
        <v>250</v>
      </c>
      <c r="T41" s="2">
        <v>262</v>
      </c>
      <c r="U41" s="2">
        <v>331</v>
      </c>
      <c r="V41" s="2">
        <v>331</v>
      </c>
      <c r="W41" s="2"/>
      <c r="X41" s="2">
        <v>487</v>
      </c>
      <c r="Y41" s="2">
        <v>522</v>
      </c>
      <c r="Z41" s="2">
        <v>522</v>
      </c>
    </row>
    <row r="42" spans="1:26" x14ac:dyDescent="0.3">
      <c r="A42" s="6">
        <v>21</v>
      </c>
      <c r="B42" s="6">
        <v>178</v>
      </c>
      <c r="C42" s="6">
        <v>218</v>
      </c>
      <c r="D42" s="6">
        <v>218</v>
      </c>
      <c r="E42" s="6">
        <v>271</v>
      </c>
      <c r="F42" s="6">
        <v>271</v>
      </c>
      <c r="G42" s="6">
        <v>332</v>
      </c>
      <c r="H42" s="6">
        <v>368</v>
      </c>
      <c r="I42" s="6">
        <v>383</v>
      </c>
      <c r="J42" s="6">
        <v>458</v>
      </c>
      <c r="K42" s="6">
        <v>494</v>
      </c>
      <c r="L42" s="2">
        <v>168</v>
      </c>
      <c r="M42" s="2">
        <v>218</v>
      </c>
      <c r="N42" s="2">
        <v>225</v>
      </c>
      <c r="O42" s="2">
        <v>238</v>
      </c>
      <c r="P42" s="2">
        <v>268</v>
      </c>
      <c r="Q42" s="2">
        <v>284</v>
      </c>
      <c r="R42" s="7">
        <v>255</v>
      </c>
      <c r="S42" s="7">
        <v>255</v>
      </c>
      <c r="T42" s="2">
        <v>267</v>
      </c>
      <c r="U42" s="2">
        <v>336</v>
      </c>
      <c r="V42" s="2">
        <v>336</v>
      </c>
      <c r="W42" s="2"/>
      <c r="X42" s="2">
        <v>487</v>
      </c>
      <c r="Y42" s="2">
        <v>522</v>
      </c>
      <c r="Z42" s="2">
        <v>522</v>
      </c>
    </row>
    <row r="43" spans="1:26" x14ac:dyDescent="0.3">
      <c r="A43" s="6">
        <v>22</v>
      </c>
      <c r="B43" s="6">
        <v>181</v>
      </c>
      <c r="C43" s="6">
        <v>221</v>
      </c>
      <c r="D43" s="6">
        <v>221</v>
      </c>
      <c r="E43" s="6">
        <v>276</v>
      </c>
      <c r="F43" s="6">
        <v>276</v>
      </c>
      <c r="G43" s="6">
        <v>337</v>
      </c>
      <c r="H43" s="6">
        <v>374</v>
      </c>
      <c r="I43" s="6">
        <v>389</v>
      </c>
      <c r="J43" s="6">
        <v>464</v>
      </c>
      <c r="K43" s="6">
        <v>501</v>
      </c>
      <c r="L43" s="2">
        <v>170</v>
      </c>
      <c r="M43" s="2">
        <v>220</v>
      </c>
      <c r="N43" s="2">
        <v>233</v>
      </c>
      <c r="O43" s="2">
        <v>240</v>
      </c>
      <c r="P43" s="2">
        <v>270</v>
      </c>
      <c r="Q43" s="2">
        <v>289</v>
      </c>
      <c r="R43" s="7">
        <v>260</v>
      </c>
      <c r="S43" s="7">
        <v>260</v>
      </c>
      <c r="T43" s="2">
        <v>271</v>
      </c>
      <c r="U43" s="2">
        <v>340</v>
      </c>
      <c r="V43" s="2">
        <v>340</v>
      </c>
      <c r="W43" s="2"/>
      <c r="X43" s="2">
        <v>487</v>
      </c>
      <c r="Y43" s="2">
        <v>522</v>
      </c>
      <c r="Z43" s="2">
        <v>522</v>
      </c>
    </row>
    <row r="44" spans="1:26" x14ac:dyDescent="0.3">
      <c r="A44" s="6">
        <v>23</v>
      </c>
      <c r="B44" s="6">
        <v>183</v>
      </c>
      <c r="C44" s="6">
        <v>225</v>
      </c>
      <c r="D44" s="6">
        <v>225</v>
      </c>
      <c r="E44" s="6">
        <v>282</v>
      </c>
      <c r="F44" s="6">
        <v>282</v>
      </c>
      <c r="G44" s="6">
        <v>343</v>
      </c>
      <c r="H44" s="6">
        <v>380</v>
      </c>
      <c r="I44" s="6">
        <v>395</v>
      </c>
      <c r="J44" s="6">
        <v>471</v>
      </c>
      <c r="K44" s="6">
        <v>507</v>
      </c>
      <c r="L44" s="2">
        <v>173</v>
      </c>
      <c r="M44" s="2">
        <v>222</v>
      </c>
      <c r="N44" s="2">
        <v>233</v>
      </c>
      <c r="O44" s="2">
        <v>241</v>
      </c>
      <c r="P44" s="2">
        <v>272</v>
      </c>
      <c r="Q44" s="2">
        <v>294</v>
      </c>
      <c r="R44" s="7">
        <v>264</v>
      </c>
      <c r="S44" s="7">
        <v>264</v>
      </c>
      <c r="T44" s="2">
        <v>271</v>
      </c>
      <c r="U44" s="2">
        <v>344</v>
      </c>
      <c r="V44" s="2">
        <v>344</v>
      </c>
      <c r="W44" s="2"/>
      <c r="X44" s="2">
        <v>487</v>
      </c>
      <c r="Y44" s="2">
        <v>522</v>
      </c>
      <c r="Z44" s="2">
        <v>522</v>
      </c>
    </row>
    <row r="45" spans="1:26" x14ac:dyDescent="0.3">
      <c r="A45" s="6">
        <v>24</v>
      </c>
      <c r="B45" s="6">
        <v>186</v>
      </c>
      <c r="C45" s="6">
        <v>228</v>
      </c>
      <c r="D45" s="6">
        <v>228</v>
      </c>
      <c r="E45" s="6">
        <v>287</v>
      </c>
      <c r="F45" s="6">
        <v>287</v>
      </c>
      <c r="G45" s="6">
        <v>349</v>
      </c>
      <c r="H45" s="6">
        <v>386</v>
      </c>
      <c r="I45" s="6">
        <v>401</v>
      </c>
      <c r="J45" s="6">
        <v>477</v>
      </c>
      <c r="K45" s="6">
        <v>514</v>
      </c>
      <c r="L45" s="2">
        <v>175</v>
      </c>
      <c r="M45" s="2">
        <v>224</v>
      </c>
      <c r="N45" s="2">
        <v>233</v>
      </c>
      <c r="O45" s="2">
        <v>243</v>
      </c>
      <c r="P45" s="2">
        <v>274</v>
      </c>
      <c r="Q45" s="2">
        <v>299</v>
      </c>
      <c r="R45" s="7">
        <v>269</v>
      </c>
      <c r="S45" s="7">
        <v>269</v>
      </c>
      <c r="T45" s="2">
        <v>271</v>
      </c>
      <c r="U45" s="2">
        <v>348</v>
      </c>
      <c r="V45" s="2">
        <v>348</v>
      </c>
      <c r="W45" s="2"/>
      <c r="X45" s="2">
        <v>487</v>
      </c>
      <c r="Y45" s="2">
        <v>522</v>
      </c>
      <c r="Z45" s="2">
        <v>522</v>
      </c>
    </row>
    <row r="46" spans="1:26" x14ac:dyDescent="0.3">
      <c r="A46" s="6">
        <v>25</v>
      </c>
      <c r="B46" s="6">
        <v>189</v>
      </c>
      <c r="C46" s="6">
        <v>232</v>
      </c>
      <c r="D46" s="6">
        <v>232</v>
      </c>
      <c r="E46" s="6">
        <v>292</v>
      </c>
      <c r="F46" s="6">
        <v>292</v>
      </c>
      <c r="G46" s="6">
        <v>355</v>
      </c>
      <c r="H46" s="6">
        <v>393</v>
      </c>
      <c r="I46" s="6">
        <v>408</v>
      </c>
      <c r="J46" s="6">
        <v>483</v>
      </c>
      <c r="K46" s="6">
        <v>520</v>
      </c>
      <c r="L46" s="2">
        <v>177</v>
      </c>
      <c r="M46" s="2">
        <v>225</v>
      </c>
      <c r="N46" s="2">
        <v>233</v>
      </c>
      <c r="O46" s="2">
        <v>245</v>
      </c>
      <c r="P46" s="2">
        <v>275</v>
      </c>
      <c r="Q46" s="2">
        <v>304</v>
      </c>
      <c r="R46" s="7">
        <v>271</v>
      </c>
      <c r="S46" s="7">
        <v>271</v>
      </c>
      <c r="T46" s="2">
        <v>271</v>
      </c>
      <c r="U46" s="2">
        <v>353</v>
      </c>
      <c r="V46" s="2">
        <v>353</v>
      </c>
      <c r="W46" s="2"/>
      <c r="X46" s="2">
        <v>487</v>
      </c>
      <c r="Y46" s="2">
        <v>522</v>
      </c>
      <c r="Z46" s="2">
        <v>522</v>
      </c>
    </row>
    <row r="47" spans="1:26" x14ac:dyDescent="0.3">
      <c r="A47" s="6">
        <v>26</v>
      </c>
      <c r="B47" s="6">
        <v>191</v>
      </c>
      <c r="C47" s="6">
        <v>235</v>
      </c>
      <c r="D47" s="6">
        <v>235</v>
      </c>
      <c r="E47" s="6">
        <v>297</v>
      </c>
      <c r="F47" s="6">
        <v>297</v>
      </c>
      <c r="G47" s="6">
        <v>361</v>
      </c>
      <c r="H47" s="6">
        <v>399</v>
      </c>
      <c r="I47" s="6">
        <v>414</v>
      </c>
      <c r="J47" s="6">
        <v>491</v>
      </c>
      <c r="K47" s="6">
        <v>520</v>
      </c>
      <c r="L47" s="2">
        <v>181</v>
      </c>
      <c r="M47" s="2">
        <v>227</v>
      </c>
      <c r="N47" s="2">
        <v>233</v>
      </c>
      <c r="O47" s="2">
        <v>246</v>
      </c>
      <c r="P47" s="2">
        <v>277</v>
      </c>
      <c r="Q47" s="2">
        <v>309</v>
      </c>
      <c r="R47" s="7">
        <v>271</v>
      </c>
      <c r="S47" s="7">
        <v>271</v>
      </c>
      <c r="T47" s="2">
        <v>271</v>
      </c>
      <c r="U47" s="2">
        <v>357</v>
      </c>
      <c r="V47" s="2">
        <v>357</v>
      </c>
      <c r="W47" s="2"/>
      <c r="X47" s="2">
        <v>488</v>
      </c>
      <c r="Y47" s="2">
        <v>522</v>
      </c>
      <c r="Z47" s="2">
        <v>522</v>
      </c>
    </row>
    <row r="48" spans="1:26" x14ac:dyDescent="0.3">
      <c r="A48" s="6">
        <v>27</v>
      </c>
      <c r="B48" s="6">
        <v>193</v>
      </c>
      <c r="C48" s="6">
        <v>239</v>
      </c>
      <c r="D48" s="6">
        <v>239</v>
      </c>
      <c r="E48" s="6">
        <v>302</v>
      </c>
      <c r="F48" s="6">
        <v>302</v>
      </c>
      <c r="G48" s="6">
        <v>367</v>
      </c>
      <c r="H48" s="6">
        <v>405</v>
      </c>
      <c r="I48" s="6">
        <v>420</v>
      </c>
      <c r="J48" s="6">
        <v>496</v>
      </c>
      <c r="K48" s="6">
        <v>520</v>
      </c>
      <c r="L48" s="2">
        <v>181</v>
      </c>
      <c r="M48" s="2">
        <v>229</v>
      </c>
      <c r="N48" s="2">
        <v>233</v>
      </c>
      <c r="O48" s="2">
        <v>248</v>
      </c>
      <c r="P48" s="2">
        <v>279</v>
      </c>
      <c r="Q48" s="2">
        <v>314</v>
      </c>
      <c r="R48" s="7">
        <v>271</v>
      </c>
      <c r="S48" s="7">
        <v>271</v>
      </c>
      <c r="T48" s="2">
        <v>271</v>
      </c>
      <c r="U48" s="2">
        <v>361</v>
      </c>
      <c r="V48" s="2">
        <v>361</v>
      </c>
      <c r="W48" s="2"/>
      <c r="X48" s="2">
        <v>488</v>
      </c>
      <c r="Y48" s="2">
        <v>522</v>
      </c>
      <c r="Z48" s="2">
        <v>522</v>
      </c>
    </row>
    <row r="49" spans="1:26" x14ac:dyDescent="0.3">
      <c r="A49" s="6">
        <v>28</v>
      </c>
      <c r="B49" s="6">
        <v>195</v>
      </c>
      <c r="C49" s="6">
        <v>243</v>
      </c>
      <c r="D49" s="6">
        <v>243</v>
      </c>
      <c r="E49" s="6">
        <v>307</v>
      </c>
      <c r="F49" s="6">
        <v>307</v>
      </c>
      <c r="G49" s="6">
        <v>374</v>
      </c>
      <c r="H49" s="6">
        <v>412</v>
      </c>
      <c r="I49" s="6">
        <v>427</v>
      </c>
      <c r="J49" s="6">
        <v>496</v>
      </c>
      <c r="K49" s="6">
        <v>520</v>
      </c>
      <c r="L49" s="2">
        <v>181</v>
      </c>
      <c r="M49" s="2">
        <v>230</v>
      </c>
      <c r="N49" s="2">
        <v>233</v>
      </c>
      <c r="O49" s="2">
        <v>250</v>
      </c>
      <c r="P49" s="2">
        <v>281</v>
      </c>
      <c r="Q49" s="2">
        <v>319</v>
      </c>
      <c r="R49" s="7">
        <v>271</v>
      </c>
      <c r="S49" s="7">
        <v>271</v>
      </c>
      <c r="T49" s="2">
        <v>271</v>
      </c>
      <c r="U49" s="2">
        <v>365</v>
      </c>
      <c r="V49" s="2">
        <v>365</v>
      </c>
      <c r="W49" s="2"/>
      <c r="X49" s="2">
        <v>488</v>
      </c>
      <c r="Y49" s="2">
        <v>522</v>
      </c>
      <c r="Z49" s="2">
        <v>522</v>
      </c>
    </row>
    <row r="50" spans="1:26" x14ac:dyDescent="0.3">
      <c r="A50" s="6">
        <v>29</v>
      </c>
      <c r="B50" s="6">
        <v>198</v>
      </c>
      <c r="C50" s="6">
        <v>247</v>
      </c>
      <c r="D50" s="6">
        <v>247</v>
      </c>
      <c r="E50" s="6">
        <v>311</v>
      </c>
      <c r="F50" s="6">
        <v>311</v>
      </c>
      <c r="G50" s="6">
        <v>378</v>
      </c>
      <c r="H50" s="6">
        <v>412</v>
      </c>
      <c r="I50" s="6">
        <v>427</v>
      </c>
      <c r="J50" s="6">
        <v>496</v>
      </c>
      <c r="K50" s="6">
        <v>520</v>
      </c>
      <c r="L50" s="2">
        <v>181</v>
      </c>
      <c r="M50" s="2">
        <v>232</v>
      </c>
      <c r="N50" s="2">
        <v>233</v>
      </c>
      <c r="O50" s="2">
        <v>251</v>
      </c>
      <c r="P50" s="2">
        <v>282</v>
      </c>
      <c r="Q50" s="2">
        <v>323</v>
      </c>
      <c r="R50" s="7">
        <v>271</v>
      </c>
      <c r="S50" s="7">
        <v>271</v>
      </c>
      <c r="T50" s="2">
        <v>271</v>
      </c>
      <c r="U50" s="2">
        <v>369</v>
      </c>
      <c r="V50" s="2">
        <v>369</v>
      </c>
      <c r="W50" s="2"/>
      <c r="X50" s="2">
        <v>488</v>
      </c>
      <c r="Y50" s="2">
        <v>522</v>
      </c>
      <c r="Z50" s="2">
        <v>522</v>
      </c>
    </row>
    <row r="51" spans="1:26" x14ac:dyDescent="0.3">
      <c r="A51" s="6">
        <v>30</v>
      </c>
      <c r="B51" s="6">
        <v>199</v>
      </c>
      <c r="C51" s="6">
        <v>249</v>
      </c>
      <c r="D51" s="6">
        <v>249</v>
      </c>
      <c r="E51" s="6">
        <v>311</v>
      </c>
      <c r="F51" s="6">
        <v>311</v>
      </c>
      <c r="G51" s="6">
        <v>378</v>
      </c>
      <c r="H51" s="6">
        <v>412</v>
      </c>
      <c r="I51" s="6">
        <v>427</v>
      </c>
      <c r="J51" s="6">
        <v>496</v>
      </c>
      <c r="K51" s="6">
        <v>520</v>
      </c>
      <c r="L51" s="2">
        <v>181</v>
      </c>
      <c r="M51" s="2">
        <v>234</v>
      </c>
      <c r="N51" s="2">
        <v>233</v>
      </c>
      <c r="O51" s="2">
        <v>253</v>
      </c>
      <c r="P51" s="2">
        <v>284</v>
      </c>
      <c r="Q51" s="2">
        <v>328</v>
      </c>
      <c r="R51" s="7">
        <v>271</v>
      </c>
      <c r="S51" s="7">
        <v>271</v>
      </c>
      <c r="T51" s="2">
        <v>271</v>
      </c>
      <c r="U51" s="2">
        <v>374</v>
      </c>
      <c r="V51" s="2">
        <v>374</v>
      </c>
      <c r="W51" s="2"/>
      <c r="X51" s="2">
        <v>488</v>
      </c>
      <c r="Y51" s="2">
        <v>522</v>
      </c>
      <c r="Z51" s="2">
        <v>522</v>
      </c>
    </row>
    <row r="52" spans="1:26" x14ac:dyDescent="0.3">
      <c r="A52" s="6">
        <v>31</v>
      </c>
      <c r="B52" s="6">
        <v>199</v>
      </c>
      <c r="C52" s="6">
        <v>249</v>
      </c>
      <c r="D52" s="6">
        <v>249</v>
      </c>
      <c r="E52" s="6">
        <v>311</v>
      </c>
      <c r="F52" s="6">
        <v>311</v>
      </c>
      <c r="G52" s="6">
        <v>378</v>
      </c>
      <c r="H52" s="6">
        <v>412</v>
      </c>
      <c r="I52" s="6">
        <v>427</v>
      </c>
      <c r="J52" s="6">
        <v>496</v>
      </c>
      <c r="K52" s="6">
        <v>520</v>
      </c>
      <c r="L52" s="2">
        <v>181</v>
      </c>
      <c r="M52" s="2">
        <v>235</v>
      </c>
      <c r="N52" s="2">
        <v>233</v>
      </c>
      <c r="O52" s="2">
        <v>255</v>
      </c>
      <c r="P52" s="2">
        <v>286</v>
      </c>
      <c r="Q52" s="2">
        <v>333</v>
      </c>
      <c r="R52" s="7">
        <v>271</v>
      </c>
      <c r="S52" s="7">
        <v>271</v>
      </c>
      <c r="T52" s="2">
        <v>271</v>
      </c>
      <c r="U52" s="2">
        <v>378</v>
      </c>
      <c r="V52" s="2">
        <v>378</v>
      </c>
      <c r="W52" s="2"/>
      <c r="X52" s="2">
        <v>488</v>
      </c>
      <c r="Y52" s="2">
        <v>522</v>
      </c>
      <c r="Z52" s="2">
        <v>522</v>
      </c>
    </row>
    <row r="53" spans="1:26" x14ac:dyDescent="0.3">
      <c r="A53" s="6">
        <v>32</v>
      </c>
      <c r="B53" s="6">
        <v>199</v>
      </c>
      <c r="C53" s="6">
        <v>249</v>
      </c>
      <c r="D53" s="6">
        <v>249</v>
      </c>
      <c r="E53" s="6">
        <v>311</v>
      </c>
      <c r="F53" s="6">
        <v>311</v>
      </c>
      <c r="G53" s="6">
        <v>378</v>
      </c>
      <c r="H53" s="6">
        <v>412</v>
      </c>
      <c r="I53" s="6">
        <v>427</v>
      </c>
      <c r="J53" s="6">
        <v>496</v>
      </c>
      <c r="K53" s="6">
        <v>520</v>
      </c>
      <c r="L53" s="2">
        <v>181</v>
      </c>
      <c r="M53" s="2">
        <v>237</v>
      </c>
      <c r="N53" s="2">
        <v>233</v>
      </c>
      <c r="O53" s="2">
        <v>256</v>
      </c>
      <c r="P53" s="2">
        <v>288</v>
      </c>
      <c r="Q53" s="2">
        <v>339</v>
      </c>
      <c r="R53" s="7">
        <v>271</v>
      </c>
      <c r="S53" s="7">
        <v>271</v>
      </c>
      <c r="T53" s="2">
        <v>271</v>
      </c>
      <c r="U53" s="2">
        <v>382</v>
      </c>
      <c r="V53" s="2">
        <v>382</v>
      </c>
      <c r="W53" s="2"/>
      <c r="X53" s="2">
        <v>488</v>
      </c>
      <c r="Y53" s="2">
        <v>522</v>
      </c>
      <c r="Z53" s="2">
        <v>522</v>
      </c>
    </row>
    <row r="54" spans="1:26" x14ac:dyDescent="0.3">
      <c r="A54" s="6">
        <v>33</v>
      </c>
      <c r="B54" s="6">
        <v>199</v>
      </c>
      <c r="C54" s="6">
        <v>249</v>
      </c>
      <c r="D54" s="6">
        <v>249</v>
      </c>
      <c r="E54" s="6">
        <v>311</v>
      </c>
      <c r="F54" s="6">
        <v>311</v>
      </c>
      <c r="G54" s="6">
        <v>378</v>
      </c>
      <c r="H54" s="6">
        <v>412</v>
      </c>
      <c r="I54" s="6">
        <v>427</v>
      </c>
      <c r="J54" s="6">
        <v>496</v>
      </c>
      <c r="K54" s="6">
        <v>520</v>
      </c>
      <c r="L54" s="2">
        <v>181</v>
      </c>
      <c r="M54" s="2">
        <v>239</v>
      </c>
      <c r="N54" s="2">
        <v>233</v>
      </c>
      <c r="O54" s="2">
        <v>258</v>
      </c>
      <c r="P54" s="2">
        <v>289</v>
      </c>
      <c r="Q54" s="2">
        <v>339</v>
      </c>
      <c r="R54" s="7">
        <v>271</v>
      </c>
      <c r="S54" s="7">
        <v>271</v>
      </c>
      <c r="T54" s="2">
        <v>271</v>
      </c>
      <c r="U54" s="2">
        <v>386</v>
      </c>
      <c r="V54" s="2">
        <v>386</v>
      </c>
      <c r="W54" s="2"/>
      <c r="X54" s="2">
        <v>488</v>
      </c>
      <c r="Y54" s="2">
        <v>522</v>
      </c>
      <c r="Z54" s="2">
        <v>522</v>
      </c>
    </row>
    <row r="55" spans="1:26" x14ac:dyDescent="0.3">
      <c r="A55" s="6">
        <v>34</v>
      </c>
      <c r="B55" s="6">
        <v>199</v>
      </c>
      <c r="C55" s="6">
        <v>249</v>
      </c>
      <c r="D55" s="6">
        <v>249</v>
      </c>
      <c r="E55" s="6">
        <v>311</v>
      </c>
      <c r="F55" s="6">
        <v>311</v>
      </c>
      <c r="G55" s="6">
        <v>378</v>
      </c>
      <c r="H55" s="6">
        <v>412</v>
      </c>
      <c r="I55" s="6">
        <v>427</v>
      </c>
      <c r="J55" s="6">
        <v>496</v>
      </c>
      <c r="K55" s="6">
        <v>520</v>
      </c>
      <c r="L55" s="2">
        <v>181</v>
      </c>
      <c r="M55" s="2">
        <v>240</v>
      </c>
      <c r="N55" s="2">
        <v>233</v>
      </c>
      <c r="O55" s="2">
        <v>260</v>
      </c>
      <c r="P55" s="2">
        <v>291</v>
      </c>
      <c r="Q55" s="2">
        <v>339</v>
      </c>
      <c r="R55" s="7">
        <v>271</v>
      </c>
      <c r="S55" s="7">
        <v>271</v>
      </c>
      <c r="T55" s="2">
        <v>271</v>
      </c>
      <c r="U55" s="2">
        <v>391</v>
      </c>
      <c r="V55" s="2">
        <v>391</v>
      </c>
      <c r="W55" s="2"/>
      <c r="X55" s="2">
        <v>488</v>
      </c>
      <c r="Y55" s="2">
        <v>522</v>
      </c>
      <c r="Z55" s="2">
        <v>522</v>
      </c>
    </row>
    <row r="56" spans="1:26" x14ac:dyDescent="0.3">
      <c r="A56" s="6">
        <v>35</v>
      </c>
      <c r="B56" s="6">
        <v>199</v>
      </c>
      <c r="C56" s="6">
        <v>249</v>
      </c>
      <c r="D56" s="6">
        <v>249</v>
      </c>
      <c r="E56" s="6">
        <v>311</v>
      </c>
      <c r="F56" s="6">
        <v>311</v>
      </c>
      <c r="G56" s="6">
        <v>378</v>
      </c>
      <c r="H56" s="6">
        <v>412</v>
      </c>
      <c r="I56" s="6">
        <v>427</v>
      </c>
      <c r="J56" s="6">
        <v>496</v>
      </c>
      <c r="K56" s="6">
        <v>520</v>
      </c>
      <c r="L56" s="2">
        <v>181</v>
      </c>
      <c r="M56" s="2">
        <v>242</v>
      </c>
      <c r="N56" s="2">
        <v>233</v>
      </c>
      <c r="O56" s="2">
        <v>261</v>
      </c>
      <c r="P56" s="2">
        <v>293</v>
      </c>
      <c r="Q56" s="2">
        <v>339</v>
      </c>
      <c r="R56" s="7">
        <v>271</v>
      </c>
      <c r="S56" s="7">
        <v>271</v>
      </c>
      <c r="T56" s="2">
        <v>271</v>
      </c>
      <c r="U56" s="2">
        <v>395</v>
      </c>
      <c r="V56" s="2">
        <v>395</v>
      </c>
      <c r="W56" s="2"/>
      <c r="X56" s="2">
        <v>488</v>
      </c>
      <c r="Y56" s="2">
        <v>522</v>
      </c>
      <c r="Z56" s="2">
        <v>522</v>
      </c>
    </row>
    <row r="57" spans="1:26" x14ac:dyDescent="0.3">
      <c r="A57" s="6">
        <v>36</v>
      </c>
      <c r="B57" s="6">
        <v>199</v>
      </c>
      <c r="C57" s="6">
        <v>249</v>
      </c>
      <c r="D57" s="6">
        <v>249</v>
      </c>
      <c r="E57" s="6">
        <v>311</v>
      </c>
      <c r="F57" s="6">
        <v>311</v>
      </c>
      <c r="G57" s="6">
        <v>378</v>
      </c>
      <c r="H57" s="6">
        <v>412</v>
      </c>
      <c r="I57" s="6">
        <v>427</v>
      </c>
      <c r="J57" s="6">
        <v>496</v>
      </c>
      <c r="K57" s="6">
        <v>520</v>
      </c>
      <c r="L57" s="2">
        <v>181</v>
      </c>
      <c r="M57" s="2">
        <v>244</v>
      </c>
      <c r="N57" s="2">
        <v>233</v>
      </c>
      <c r="O57" s="2">
        <v>263</v>
      </c>
      <c r="P57" s="2">
        <v>294</v>
      </c>
      <c r="Q57" s="2">
        <v>339</v>
      </c>
      <c r="R57" s="7">
        <v>271</v>
      </c>
      <c r="S57" s="7">
        <v>271</v>
      </c>
      <c r="T57" s="2">
        <v>271</v>
      </c>
      <c r="U57" s="2">
        <v>399</v>
      </c>
      <c r="V57" s="2">
        <v>399</v>
      </c>
      <c r="W57" s="2"/>
      <c r="X57" s="2">
        <v>488</v>
      </c>
      <c r="Y57" s="2">
        <v>522</v>
      </c>
      <c r="Z57" s="2">
        <v>522</v>
      </c>
    </row>
    <row r="58" spans="1:26" x14ac:dyDescent="0.3">
      <c r="A58" s="6">
        <v>37</v>
      </c>
      <c r="B58" s="6">
        <v>199</v>
      </c>
      <c r="C58" s="6">
        <v>249</v>
      </c>
      <c r="D58" s="6">
        <v>249</v>
      </c>
      <c r="E58" s="6">
        <v>311</v>
      </c>
      <c r="F58" s="6">
        <v>311</v>
      </c>
      <c r="G58" s="6">
        <v>378</v>
      </c>
      <c r="H58" s="6">
        <v>412</v>
      </c>
      <c r="I58" s="6">
        <v>427</v>
      </c>
      <c r="J58" s="6">
        <v>496</v>
      </c>
      <c r="K58" s="6">
        <v>520</v>
      </c>
      <c r="L58" s="2">
        <v>181</v>
      </c>
      <c r="M58" s="2">
        <v>245</v>
      </c>
      <c r="N58" s="2">
        <v>233</v>
      </c>
      <c r="O58" s="2">
        <v>265</v>
      </c>
      <c r="P58" s="2">
        <v>296</v>
      </c>
      <c r="Q58" s="2">
        <v>339</v>
      </c>
      <c r="R58" s="7">
        <v>271</v>
      </c>
      <c r="S58" s="7">
        <v>271</v>
      </c>
      <c r="T58" s="2">
        <v>271</v>
      </c>
      <c r="U58" s="2">
        <v>403</v>
      </c>
      <c r="V58" s="2">
        <v>403</v>
      </c>
      <c r="W58" s="2"/>
      <c r="X58" s="2">
        <v>488</v>
      </c>
      <c r="Y58" s="2">
        <v>522</v>
      </c>
      <c r="Z58" s="2">
        <v>522</v>
      </c>
    </row>
    <row r="59" spans="1:26" x14ac:dyDescent="0.3">
      <c r="A59" s="6">
        <v>38</v>
      </c>
      <c r="B59" s="6">
        <v>199</v>
      </c>
      <c r="C59" s="6">
        <v>249</v>
      </c>
      <c r="D59" s="6">
        <v>249</v>
      </c>
      <c r="E59" s="6">
        <v>311</v>
      </c>
      <c r="F59" s="6">
        <v>311</v>
      </c>
      <c r="G59" s="6">
        <v>378</v>
      </c>
      <c r="H59" s="6">
        <v>412</v>
      </c>
      <c r="I59" s="6">
        <v>427</v>
      </c>
      <c r="J59" s="6">
        <v>496</v>
      </c>
      <c r="K59" s="6">
        <v>520</v>
      </c>
      <c r="L59" s="2">
        <v>181</v>
      </c>
      <c r="M59" s="2">
        <v>247</v>
      </c>
      <c r="N59" s="2">
        <v>233</v>
      </c>
      <c r="O59" s="2">
        <v>266</v>
      </c>
      <c r="P59" s="2">
        <v>298</v>
      </c>
      <c r="Q59" s="2">
        <v>339</v>
      </c>
      <c r="R59" s="7">
        <v>271</v>
      </c>
      <c r="S59" s="7">
        <v>271</v>
      </c>
      <c r="T59" s="2">
        <v>271</v>
      </c>
      <c r="U59" s="2">
        <v>407</v>
      </c>
      <c r="V59" s="2">
        <v>407</v>
      </c>
      <c r="W59" s="2"/>
      <c r="X59" s="2">
        <v>488</v>
      </c>
      <c r="Y59" s="2">
        <v>522</v>
      </c>
      <c r="Z59" s="2">
        <v>522</v>
      </c>
    </row>
    <row r="60" spans="1:26" x14ac:dyDescent="0.3">
      <c r="A60" s="6">
        <v>39</v>
      </c>
      <c r="B60" s="6">
        <v>199</v>
      </c>
      <c r="C60" s="6">
        <v>249</v>
      </c>
      <c r="D60" s="6">
        <v>249</v>
      </c>
      <c r="E60" s="6">
        <v>311</v>
      </c>
      <c r="F60" s="6">
        <v>311</v>
      </c>
      <c r="G60" s="6">
        <v>378</v>
      </c>
      <c r="H60" s="6">
        <v>412</v>
      </c>
      <c r="I60" s="6">
        <v>427</v>
      </c>
      <c r="J60" s="6">
        <v>496</v>
      </c>
      <c r="K60" s="6">
        <v>520</v>
      </c>
      <c r="L60" s="2">
        <v>181</v>
      </c>
      <c r="M60" s="2">
        <v>249</v>
      </c>
      <c r="N60" s="2">
        <v>233</v>
      </c>
      <c r="O60" s="2">
        <v>268</v>
      </c>
      <c r="P60" s="2">
        <v>300</v>
      </c>
      <c r="Q60" s="2">
        <v>339</v>
      </c>
      <c r="R60" s="7">
        <v>271</v>
      </c>
      <c r="S60" s="7">
        <v>271</v>
      </c>
      <c r="T60" s="2">
        <v>271</v>
      </c>
      <c r="U60" s="2">
        <v>412</v>
      </c>
      <c r="V60" s="2">
        <v>412</v>
      </c>
      <c r="W60" s="2"/>
      <c r="X60" s="2">
        <v>488</v>
      </c>
      <c r="Y60" s="2">
        <v>522</v>
      </c>
      <c r="Z60" s="2">
        <v>522</v>
      </c>
    </row>
    <row r="61" spans="1:26" x14ac:dyDescent="0.3">
      <c r="A61" s="6">
        <v>40</v>
      </c>
      <c r="B61" s="6">
        <v>199</v>
      </c>
      <c r="C61" s="6">
        <v>249</v>
      </c>
      <c r="D61" s="6">
        <v>249</v>
      </c>
      <c r="E61" s="6">
        <v>311</v>
      </c>
      <c r="F61" s="6">
        <v>311</v>
      </c>
      <c r="G61" s="6">
        <v>378</v>
      </c>
      <c r="H61" s="6">
        <v>412</v>
      </c>
      <c r="I61" s="6">
        <v>427</v>
      </c>
      <c r="J61" s="6">
        <v>496</v>
      </c>
      <c r="K61" s="6">
        <v>520</v>
      </c>
      <c r="L61" s="2">
        <v>181</v>
      </c>
      <c r="M61" s="2">
        <v>249</v>
      </c>
      <c r="N61" s="2">
        <v>233</v>
      </c>
      <c r="O61" s="2">
        <v>268</v>
      </c>
      <c r="P61" s="2">
        <v>300</v>
      </c>
      <c r="Q61" s="2">
        <v>339</v>
      </c>
      <c r="R61" s="7">
        <v>271</v>
      </c>
      <c r="S61" s="7">
        <v>271</v>
      </c>
      <c r="T61" s="2">
        <v>271</v>
      </c>
      <c r="U61" s="2">
        <v>412</v>
      </c>
      <c r="V61" s="2">
        <v>412</v>
      </c>
      <c r="W61" s="2"/>
      <c r="X61" s="2">
        <v>488</v>
      </c>
      <c r="Y61" s="2">
        <v>522</v>
      </c>
      <c r="Z61" s="2">
        <v>522</v>
      </c>
    </row>
    <row r="62" spans="1:26" x14ac:dyDescent="0.3">
      <c r="A62" s="6">
        <v>41</v>
      </c>
      <c r="B62" s="6">
        <v>199</v>
      </c>
      <c r="C62" s="6">
        <v>249</v>
      </c>
      <c r="D62" s="6">
        <v>249</v>
      </c>
      <c r="E62" s="6">
        <v>311</v>
      </c>
      <c r="F62" s="6">
        <v>311</v>
      </c>
      <c r="G62" s="6">
        <v>378</v>
      </c>
      <c r="H62" s="6">
        <v>412</v>
      </c>
      <c r="I62" s="6">
        <v>427</v>
      </c>
      <c r="J62" s="6">
        <v>496</v>
      </c>
      <c r="K62" s="6">
        <v>520</v>
      </c>
      <c r="L62" s="2">
        <v>181</v>
      </c>
      <c r="M62" s="2">
        <v>249</v>
      </c>
      <c r="N62" s="2">
        <v>233</v>
      </c>
      <c r="O62" s="2">
        <v>268</v>
      </c>
      <c r="P62" s="2">
        <v>300</v>
      </c>
      <c r="Q62" s="2">
        <v>339</v>
      </c>
      <c r="R62" s="7">
        <v>271</v>
      </c>
      <c r="S62" s="7">
        <v>271</v>
      </c>
      <c r="T62" s="2">
        <v>271</v>
      </c>
      <c r="U62" s="2">
        <v>412</v>
      </c>
      <c r="V62" s="2">
        <v>412</v>
      </c>
      <c r="W62" s="2"/>
      <c r="X62" s="2">
        <v>488</v>
      </c>
      <c r="Y62" s="2">
        <v>522</v>
      </c>
      <c r="Z62" s="2">
        <v>522</v>
      </c>
    </row>
    <row r="63" spans="1:26" x14ac:dyDescent="0.3">
      <c r="A63" s="6">
        <v>42</v>
      </c>
      <c r="B63" s="6">
        <v>199</v>
      </c>
      <c r="C63" s="6">
        <v>249</v>
      </c>
      <c r="D63" s="6">
        <v>249</v>
      </c>
      <c r="E63" s="6">
        <v>311</v>
      </c>
      <c r="F63" s="6">
        <v>311</v>
      </c>
      <c r="G63" s="6">
        <v>378</v>
      </c>
      <c r="H63" s="6">
        <v>412</v>
      </c>
      <c r="I63" s="6">
        <v>427</v>
      </c>
      <c r="J63" s="6">
        <v>496</v>
      </c>
      <c r="K63" s="6">
        <v>520</v>
      </c>
      <c r="L63" s="2">
        <v>181</v>
      </c>
      <c r="M63" s="2">
        <v>249</v>
      </c>
      <c r="N63" s="2">
        <v>233</v>
      </c>
      <c r="O63" s="2">
        <v>268</v>
      </c>
      <c r="P63" s="2">
        <v>300</v>
      </c>
      <c r="Q63" s="2">
        <v>339</v>
      </c>
      <c r="R63" s="7">
        <v>271</v>
      </c>
      <c r="S63" s="7">
        <v>271</v>
      </c>
      <c r="T63" s="2">
        <v>271</v>
      </c>
      <c r="U63" s="2">
        <v>412</v>
      </c>
      <c r="V63" s="2">
        <v>412</v>
      </c>
      <c r="W63" s="2"/>
      <c r="X63" s="2">
        <v>488</v>
      </c>
      <c r="Y63" s="2">
        <v>522</v>
      </c>
      <c r="Z63" s="2">
        <v>522</v>
      </c>
    </row>
    <row r="64" spans="1:26" x14ac:dyDescent="0.3">
      <c r="A64" s="6">
        <v>43</v>
      </c>
      <c r="B64" s="6">
        <v>199</v>
      </c>
      <c r="C64" s="6">
        <v>249</v>
      </c>
      <c r="D64" s="6">
        <v>249</v>
      </c>
      <c r="E64" s="6">
        <v>311</v>
      </c>
      <c r="F64" s="6">
        <v>311</v>
      </c>
      <c r="G64" s="6">
        <v>378</v>
      </c>
      <c r="H64" s="6">
        <v>412</v>
      </c>
      <c r="I64" s="6">
        <v>427</v>
      </c>
      <c r="J64" s="6">
        <v>496</v>
      </c>
      <c r="K64" s="6">
        <v>520</v>
      </c>
      <c r="L64" s="2">
        <v>181</v>
      </c>
      <c r="M64" s="2">
        <v>249</v>
      </c>
      <c r="N64" s="2">
        <v>233</v>
      </c>
      <c r="O64" s="2">
        <v>268</v>
      </c>
      <c r="P64" s="2">
        <v>300</v>
      </c>
      <c r="Q64" s="2">
        <v>339</v>
      </c>
      <c r="R64" s="7">
        <v>271</v>
      </c>
      <c r="S64" s="7">
        <v>271</v>
      </c>
      <c r="T64" s="2">
        <v>271</v>
      </c>
      <c r="U64" s="2">
        <v>412</v>
      </c>
      <c r="V64" s="2">
        <v>412</v>
      </c>
      <c r="W64" s="2"/>
      <c r="X64" s="2">
        <v>488</v>
      </c>
      <c r="Y64" s="2">
        <v>522</v>
      </c>
      <c r="Z64" s="2">
        <v>522</v>
      </c>
    </row>
    <row r="65" spans="1:26" x14ac:dyDescent="0.3">
      <c r="A65" s="6">
        <v>44</v>
      </c>
      <c r="B65" s="6">
        <v>199</v>
      </c>
      <c r="C65" s="6">
        <v>249</v>
      </c>
      <c r="D65" s="6">
        <v>249</v>
      </c>
      <c r="E65" s="6">
        <v>311</v>
      </c>
      <c r="F65" s="6">
        <v>311</v>
      </c>
      <c r="G65" s="6">
        <v>378</v>
      </c>
      <c r="H65" s="6">
        <v>412</v>
      </c>
      <c r="I65" s="6">
        <v>427</v>
      </c>
      <c r="J65" s="6">
        <v>496</v>
      </c>
      <c r="K65" s="6">
        <v>520</v>
      </c>
      <c r="L65" s="2">
        <v>181</v>
      </c>
      <c r="M65" s="2">
        <v>249</v>
      </c>
      <c r="N65" s="2">
        <v>233</v>
      </c>
      <c r="O65" s="2">
        <v>268</v>
      </c>
      <c r="P65" s="2">
        <v>300</v>
      </c>
      <c r="Q65" s="2">
        <v>339</v>
      </c>
      <c r="R65" s="7">
        <v>271</v>
      </c>
      <c r="S65" s="7">
        <v>271</v>
      </c>
      <c r="T65" s="2">
        <v>271</v>
      </c>
      <c r="U65" s="2">
        <v>412</v>
      </c>
      <c r="V65" s="2">
        <v>412</v>
      </c>
      <c r="W65" s="2"/>
      <c r="X65" s="2">
        <v>488</v>
      </c>
      <c r="Y65" s="2">
        <v>522</v>
      </c>
      <c r="Z65" s="2">
        <v>522</v>
      </c>
    </row>
  </sheetData>
  <mergeCells count="19">
    <mergeCell ref="A17:B17"/>
    <mergeCell ref="A7:B7"/>
    <mergeCell ref="A12:B12"/>
    <mergeCell ref="A8:B8"/>
    <mergeCell ref="A14:B14"/>
    <mergeCell ref="A2:B2"/>
    <mergeCell ref="G13:H13"/>
    <mergeCell ref="G14:H14"/>
    <mergeCell ref="G15:H15"/>
    <mergeCell ref="G8:H8"/>
    <mergeCell ref="G9:H9"/>
    <mergeCell ref="G7:H7"/>
    <mergeCell ref="G6:H6"/>
    <mergeCell ref="G12:H12"/>
    <mergeCell ref="A9:B9"/>
    <mergeCell ref="A15:B15"/>
    <mergeCell ref="A3:B3"/>
    <mergeCell ref="A6:B6"/>
    <mergeCell ref="A13:B13"/>
  </mergeCells>
  <phoneticPr fontId="40" type="noConversion"/>
  <printOptions horizontalCentered="1"/>
  <pageMargins left="0.31496062992125984" right="0.31496062992125984" top="0.35433070866141736" bottom="0.35433070866141736" header="0.31496062992125984" footer="0.31496062992125984"/>
  <pageSetup paperSize="8" scale="75"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0AEB1-8BA3-461B-AF58-B6C720F4B100}">
  <sheetPr>
    <tabColor theme="7" tint="0.79998168889431442"/>
  </sheetPr>
  <dimension ref="A1:W4"/>
  <sheetViews>
    <sheetView topLeftCell="B1" workbookViewId="0">
      <selection activeCell="B4" sqref="B4"/>
    </sheetView>
  </sheetViews>
  <sheetFormatPr defaultColWidth="11.44140625" defaultRowHeight="14.4" outlineLevelCol="1" x14ac:dyDescent="0.3"/>
  <cols>
    <col min="1" max="1" width="13.6640625" style="27" hidden="1" customWidth="1" outlineLevel="1"/>
    <col min="2" max="2" width="10" style="27" customWidth="1" collapsed="1"/>
    <col min="3" max="3" width="23" style="27" customWidth="1"/>
    <col min="4" max="4" width="6.88671875" style="27" customWidth="1"/>
    <col min="5" max="5" width="11.88671875" style="27" customWidth="1"/>
    <col min="6" max="6" width="12.109375" style="27" customWidth="1"/>
    <col min="7" max="7" width="16.33203125" style="27" customWidth="1"/>
    <col min="8" max="8" width="16.33203125" customWidth="1"/>
    <col min="10" max="10" width="13.6640625" style="27" customWidth="1"/>
    <col min="11" max="11" width="11.88671875" style="27" customWidth="1"/>
    <col min="12" max="12" width="11.44140625" style="27" customWidth="1"/>
    <col min="13" max="13" width="15.5546875" style="27" customWidth="1"/>
    <col min="14" max="14" width="14.109375" style="27" customWidth="1"/>
    <col min="15" max="15" width="13.6640625" style="27" customWidth="1"/>
    <col min="16" max="16" width="17.109375" style="27" customWidth="1"/>
    <col min="17" max="17" width="73.44140625" style="27" customWidth="1"/>
    <col min="18" max="23" width="17.109375" style="27" customWidth="1"/>
  </cols>
  <sheetData>
    <row r="1" spans="1:23" ht="21" x14ac:dyDescent="0.3">
      <c r="B1" s="272" t="s">
        <v>566</v>
      </c>
      <c r="F1" s="484" t="str">
        <f>IF(COUNTBLANK(RDP_Spécifique[Type de personnel])=0,"Tableau ok ✅","Attention, il y a "&amp;COUNTBLANK(RDP_Spécifique[Type de personnel])&amp;" ligne(s) vide(s), merci de la/les supprimer ❌")</f>
        <v>Attention, il y a 1 ligne(s) vide(s), merci de la/les supprimer ❌</v>
      </c>
      <c r="L1" s="484" t="str">
        <f>IF(COUNTBLANK(RDP_Spécifique[Coût salaire annuel])=0,
"Tableau ok ✅",
"Attention, il y a "&amp;COUNTBLANK(RDP_Spécifique[Coût salaire annuel])&amp;" cellules(s) grisée(s) vides ❌")</f>
        <v>Attention, il y a 1 cellules(s) grisée(s) vides ❌</v>
      </c>
      <c r="U1"/>
      <c r="V1"/>
      <c r="W1"/>
    </row>
    <row r="2" spans="1:23" ht="15.6" x14ac:dyDescent="0.3">
      <c r="A2" s="328"/>
      <c r="B2" s="367" t="s">
        <v>404</v>
      </c>
      <c r="C2" s="368"/>
      <c r="D2" s="368"/>
      <c r="H2" s="27"/>
      <c r="I2" s="27"/>
      <c r="U2"/>
      <c r="V2"/>
      <c r="W2"/>
    </row>
    <row r="3" spans="1:23" s="276" customFormat="1" ht="144.6" thickBot="1" x14ac:dyDescent="0.35">
      <c r="A3" s="277" t="s">
        <v>355</v>
      </c>
      <c r="B3" s="400" t="s">
        <v>411</v>
      </c>
      <c r="C3" s="400" t="s">
        <v>349</v>
      </c>
      <c r="D3" s="400" t="s">
        <v>565</v>
      </c>
      <c r="E3" s="400" t="s">
        <v>501</v>
      </c>
      <c r="F3" s="400" t="s">
        <v>502</v>
      </c>
      <c r="G3" s="400" t="s">
        <v>573</v>
      </c>
      <c r="H3" s="400" t="s">
        <v>574</v>
      </c>
      <c r="I3" s="400" t="s">
        <v>165</v>
      </c>
      <c r="J3" s="400" t="s">
        <v>47</v>
      </c>
      <c r="K3" s="400" t="s">
        <v>503</v>
      </c>
      <c r="L3" s="401" t="s">
        <v>216</v>
      </c>
    </row>
    <row r="4" spans="1:23" x14ac:dyDescent="0.3">
      <c r="A4" s="309"/>
      <c r="B4" s="311"/>
      <c r="C4" s="310"/>
      <c r="D4" s="312"/>
      <c r="E4" s="313"/>
      <c r="F4" s="313"/>
      <c r="G4" s="313"/>
      <c r="H4" s="313"/>
      <c r="I4" s="313"/>
      <c r="J4" s="313"/>
      <c r="K4" s="313"/>
      <c r="L4" s="323"/>
      <c r="U4"/>
      <c r="V4"/>
      <c r="W4"/>
    </row>
  </sheetData>
  <phoneticPr fontId="40" type="noConversion"/>
  <conditionalFormatting sqref="F1">
    <cfRule type="containsText" dxfId="77" priority="3" operator="containsText" text="ok">
      <formula>NOT(ISERROR(SEARCH("ok",F1)))</formula>
    </cfRule>
  </conditionalFormatting>
  <conditionalFormatting sqref="L1">
    <cfRule type="containsText" dxfId="76" priority="1" operator="containsText" text="ok">
      <formula>NOT(ISERROR(SEARCH("ok",L1)))</formula>
    </cfRule>
  </conditionalFormatting>
  <dataValidations count="1">
    <dataValidation type="custom" operator="notEqual" allowBlank="1" showInputMessage="1" showErrorMessage="1" errorTitle="Error" error="Merci de ne pas écraser les formules svp" sqref="L4" xr:uid="{36674C71-D644-481A-8231-D4F7CBFD8F84}">
      <formula1>C4=""</formula1>
    </dataValidation>
  </dataValidations>
  <printOptions horizontalCentered="1"/>
  <pageMargins left="0.31496062992125984" right="0.31496062992125984" top="0.35433070866141736" bottom="0.35433070866141736" header="0.31496062992125984" footer="0.31496062992125984"/>
  <pageSetup paperSize="8" scale="46"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AECB719C-4B37-4905-B023-CAD0AC51B14B}">
          <x14:formula1>
            <xm:f>Data!$T$4:$T$7</xm:f>
          </x14:formula1>
          <xm:sqref>C4</xm:sqref>
        </x14:dataValidation>
        <x14:dataValidation type="list" allowBlank="1" showInputMessage="1" showErrorMessage="1" xr:uid="{EFB22A1F-EE32-44C4-B24D-354174750C2F}">
          <x14:formula1>
            <xm:f>Data!$AL$4:$AL$10</xm:f>
          </x14:formula1>
          <xm:sqref>A4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sheetPr>
  <dimension ref="A1:L56"/>
  <sheetViews>
    <sheetView workbookViewId="0">
      <selection activeCell="B16" sqref="B16"/>
    </sheetView>
  </sheetViews>
  <sheetFormatPr defaultColWidth="11.44140625" defaultRowHeight="14.4" x14ac:dyDescent="0.3"/>
  <cols>
    <col min="1" max="1" width="82.33203125" bestFit="1" customWidth="1"/>
    <col min="2" max="7" width="15.6640625" customWidth="1"/>
    <col min="8" max="8" width="16" customWidth="1"/>
    <col min="10" max="10" width="65" bestFit="1" customWidth="1"/>
    <col min="13" max="13" width="60.6640625" bestFit="1" customWidth="1"/>
  </cols>
  <sheetData>
    <row r="1" spans="1:12" ht="21" x14ac:dyDescent="0.4">
      <c r="A1" s="153" t="s">
        <v>374</v>
      </c>
      <c r="B1" s="274"/>
      <c r="C1" s="67"/>
      <c r="I1" s="23"/>
    </row>
    <row r="2" spans="1:12" ht="15" thickBot="1" x14ac:dyDescent="0.35">
      <c r="A2" s="1"/>
      <c r="B2" s="1"/>
      <c r="C2" s="274"/>
      <c r="D2" s="67"/>
      <c r="I2" s="23"/>
    </row>
    <row r="3" spans="1:12" ht="72.599999999999994" thickBot="1" x14ac:dyDescent="0.35">
      <c r="A3" s="283" t="s">
        <v>358</v>
      </c>
      <c r="B3" s="282" t="str">
        <f>"Heures de maladie longue durée "&amp;Data!$B$4&amp;" (supérieur au 77ème jour)"</f>
        <v>Heures de maladie longue durée 2025 (supérieur au 77ème jour)</v>
      </c>
      <c r="C3" s="282" t="str">
        <f>"Heures de congé de maternité et d'accueil "&amp;Data!$B$4</f>
        <v>Heures de congé de maternité et d'accueil 2025</v>
      </c>
      <c r="D3" s="282" t="str">
        <f>"Heures de dispense de travail "&amp;Data!$B$4</f>
        <v>Heures de dispense de travail 2025</v>
      </c>
      <c r="E3" s="282" t="str">
        <f>"Autres types d'absences "&amp;Data!$B$4&amp;" donnant naissance à du congé*"</f>
        <v>Autres types d'absences 2025 donnant naissance à du congé*</v>
      </c>
      <c r="F3" s="546" t="str">
        <f>"Heures de maladie courte durée "&amp;Data!$B$4&amp;" (inférieur au 77ème jour)"</f>
        <v>Heures de maladie courte durée 2025 (inférieur au 77ème jour)</v>
      </c>
      <c r="G3" s="547" t="str">
        <f>"Heures de maladie longue durée "&amp;Data!$B$4&amp;" (dépassement du 77ème jour)"</f>
        <v>Heures de maladie longue durée 2025 (dépassement du 77ème jour)</v>
      </c>
      <c r="I3" s="23"/>
    </row>
    <row r="4" spans="1:12" ht="27.75" customHeight="1" thickBot="1" x14ac:dyDescent="0.35">
      <c r="B4" s="548" t="s">
        <v>74</v>
      </c>
      <c r="C4" s="549"/>
      <c r="D4" s="549"/>
      <c r="E4" s="550"/>
      <c r="F4" s="548" t="s">
        <v>75</v>
      </c>
      <c r="G4" s="550"/>
      <c r="I4" s="23"/>
      <c r="J4" s="528" t="s">
        <v>122</v>
      </c>
      <c r="K4" s="529"/>
    </row>
    <row r="5" spans="1:12" x14ac:dyDescent="0.3">
      <c r="B5" s="19"/>
      <c r="C5" s="19"/>
      <c r="D5" s="19"/>
      <c r="E5" s="19"/>
      <c r="F5" s="551" cm="1">
        <f t="array" ref="F5">SUM((RDP_Effectif[Heures de maladie de courte durée (personnel d''encadrement uniquement)])*(RDP_Effectif[Affectation]=RIGHT($A$3,11)))</f>
        <v>0</v>
      </c>
      <c r="G5" s="552"/>
      <c r="H5" t="s">
        <v>152</v>
      </c>
      <c r="I5" s="23"/>
      <c r="J5" s="285" t="s">
        <v>123</v>
      </c>
      <c r="K5" s="294">
        <f>SUM(B5:E5)</f>
        <v>0</v>
      </c>
    </row>
    <row r="6" spans="1:12" x14ac:dyDescent="0.3">
      <c r="B6" s="324" t="str" cm="1">
        <f t="array" ref="B6">IF(SUM((RDP_Effectif[ETP moyen annuel])*(RDP_Effectif[Affectation]=RIGHT($A$3,11)))=0,"",B$5/SUM((RDP_Effectif[ETP moyen annuel])*(RDP_Effectif[Affectation]=RIGHT($A$3,11))))</f>
        <v/>
      </c>
      <c r="C6" s="324" t="str" cm="1">
        <f t="array" ref="C6">IF(SUM((RDP_Effectif[ETP moyen annuel])*(RDP_Effectif[Affectation]=RIGHT($A$3,11)))=0,"",C$5/SUM((RDP_Effectif[ETP moyen annuel])*(RDP_Effectif[Affectation]=RIGHT($A$3,11))))</f>
        <v/>
      </c>
      <c r="D6" s="324" t="str" cm="1">
        <f t="array" ref="D6">IF(SUM((RDP_Effectif[ETP moyen annuel])*(RDP_Effectif[Affectation]=RIGHT($A$3,11)))=0,"",D$5/SUM((RDP_Effectif[ETP moyen annuel])*(RDP_Effectif[Affectation]=RIGHT($A$3,11))))</f>
        <v/>
      </c>
      <c r="E6" s="324" t="str" cm="1">
        <f t="array" ref="E6">IF(SUM((RDP_Effectif[ETP moyen annuel])*(RDP_Effectif[Affectation]=RIGHT($A$3,11)))=0,"",E$5/SUM((RDP_Effectif[ETP moyen annuel])*(RDP_Effectif[Affectation]=RIGHT($A$3,11))))</f>
        <v/>
      </c>
      <c r="F6" s="526" t="str" cm="1">
        <f t="array" ref="F6">IF(SUM((RDP_Effectif[ETP moyen annuel])*(RDP_Effectif[Affectation]=RIGHT($A$3,11)))=0,"",F$5/SUM((RDP_Effectif[ETP moyen annuel])*(RDP_Effectif[Affectation]=RIGHT($A$3,11))))</f>
        <v/>
      </c>
      <c r="G6" s="527" t="str" cm="1">
        <f t="array" ref="G6">IF(SUM((RDP_Effectif[ETP moyen annuel])*(RDP_Effectif[Affectation]=RIGHT($A$3,11)))=0,"",G$5/SUM((RDP_Effectif[ETP moyen annuel])*(RDP_Effectif[Affectation]=RIGHT($A$3,11))))</f>
        <v/>
      </c>
      <c r="H6" t="s">
        <v>146</v>
      </c>
      <c r="I6" s="23"/>
      <c r="J6" s="287" t="s">
        <v>124</v>
      </c>
      <c r="K6" s="291">
        <f>D49</f>
        <v>1587</v>
      </c>
    </row>
    <row r="7" spans="1:12" x14ac:dyDescent="0.3">
      <c r="A7" s="10" t="s">
        <v>76</v>
      </c>
      <c r="B7" s="10"/>
      <c r="C7" s="10"/>
      <c r="D7" s="11"/>
      <c r="E7" s="11"/>
      <c r="F7" s="11"/>
      <c r="G7" s="11"/>
      <c r="H7" s="11"/>
      <c r="I7" s="23"/>
      <c r="J7" s="287" t="s">
        <v>368</v>
      </c>
      <c r="K7" s="291">
        <f>$K$5/$K$6</f>
        <v>0</v>
      </c>
    </row>
    <row r="8" spans="1:12" x14ac:dyDescent="0.3">
      <c r="A8" s="530"/>
      <c r="B8" s="531"/>
      <c r="C8" s="531"/>
      <c r="D8" s="531"/>
      <c r="E8" s="531"/>
      <c r="F8" s="531"/>
      <c r="G8" s="532"/>
      <c r="H8" s="18"/>
      <c r="I8" s="23"/>
      <c r="J8" s="287" t="s">
        <v>125</v>
      </c>
      <c r="K8" s="295" t="str" cm="1">
        <f t="array" ref="K8">IF(SUM((RDP_Effectif[ETP après déduction des h de maladie])*(RDP_Effectif[Affectation]=RIGHT($J$7,11)))=0,"",$K$7/SUM((RDP_Effectif[ETP après déduction des h de maladie])*(RDP_Effectif[Affectation]=RIGHT($J$7,11))))</f>
        <v/>
      </c>
    </row>
    <row r="9" spans="1:12" x14ac:dyDescent="0.3">
      <c r="A9" s="533"/>
      <c r="B9" s="534"/>
      <c r="C9" s="534"/>
      <c r="D9" s="534"/>
      <c r="E9" s="534"/>
      <c r="F9" s="534"/>
      <c r="G9" s="535"/>
      <c r="H9" s="18"/>
      <c r="I9" s="23"/>
      <c r="J9" s="287" t="s">
        <v>126</v>
      </c>
      <c r="K9" s="295" cm="1">
        <f t="array" ref="K9">IF(SUM((RDP_Effectif[ETP après déduction des h de maladie])*(RDP_Effectif[Affectation]=RIGHT($J$7,11)))=0,0,1-$K$8)</f>
        <v>0</v>
      </c>
    </row>
    <row r="10" spans="1:12" ht="15" customHeight="1" thickBot="1" x14ac:dyDescent="0.35">
      <c r="E10" s="12"/>
      <c r="F10" s="12"/>
      <c r="G10" s="12"/>
      <c r="H10" s="12"/>
      <c r="I10" s="23"/>
      <c r="J10" s="287" t="s">
        <v>127</v>
      </c>
      <c r="K10" s="296">
        <f>Data!$B$9</f>
        <v>34</v>
      </c>
    </row>
    <row r="11" spans="1:12" ht="29.4" thickBot="1" x14ac:dyDescent="0.35">
      <c r="A11" s="279" t="s">
        <v>362</v>
      </c>
      <c r="B11" s="280" t="s">
        <v>175</v>
      </c>
      <c r="E11" s="12"/>
      <c r="F11" s="12"/>
      <c r="G11" s="12"/>
      <c r="H11" s="12"/>
      <c r="I11" s="23"/>
      <c r="J11" s="292" t="s">
        <v>128</v>
      </c>
      <c r="K11" s="297">
        <f>$K$10*2</f>
        <v>68</v>
      </c>
    </row>
    <row r="12" spans="1:12" ht="15" thickBot="1" x14ac:dyDescent="0.35">
      <c r="B12" s="278"/>
      <c r="C12" t="s">
        <v>152</v>
      </c>
      <c r="E12" s="11"/>
      <c r="F12" s="11"/>
      <c r="G12" s="11"/>
      <c r="H12" s="11"/>
      <c r="I12" s="23"/>
      <c r="J12" s="298" t="s">
        <v>129</v>
      </c>
      <c r="K12" s="299" cm="1">
        <f t="array" ref="K12">IF(SUM((RDP_Effectif[ETP après déduction des h de maladie])*(RDP_Effectif[Affectation]=RIGHT($J$7,11)))=0,0,K8*K11+K9*K10-33)</f>
        <v>0</v>
      </c>
      <c r="L12" s="92"/>
    </row>
    <row r="13" spans="1:12" x14ac:dyDescent="0.3">
      <c r="B13" s="324" t="str" cm="1">
        <f t="array" ref="B13">IF(SUM((RDP_Effectif[ETP moyen annuel])*(RDP_Effectif[Affectation]=RIGHT($A$11,11)))=0,"",$B$12/SUM((RDP_Effectif[ETP moyen annuel])*(RDP_Effectif[Affectation]=RIGHT($A$11,11))))</f>
        <v/>
      </c>
      <c r="C13" t="s">
        <v>146</v>
      </c>
      <c r="E13" s="11"/>
      <c r="F13" s="11"/>
      <c r="G13" s="11"/>
      <c r="H13" s="11"/>
      <c r="I13" s="23"/>
    </row>
    <row r="14" spans="1:12" ht="15" customHeight="1" thickBot="1" x14ac:dyDescent="0.35">
      <c r="E14" s="12"/>
      <c r="F14" s="13"/>
      <c r="G14" s="13"/>
      <c r="H14" s="11"/>
      <c r="I14" s="23"/>
    </row>
    <row r="15" spans="1:12" ht="29.4" thickBot="1" x14ac:dyDescent="0.35">
      <c r="A15" s="279" t="s">
        <v>363</v>
      </c>
      <c r="B15" s="280" t="s">
        <v>174</v>
      </c>
      <c r="E15" s="12"/>
      <c r="F15" s="13"/>
      <c r="G15" s="13"/>
      <c r="H15" s="11"/>
      <c r="I15" s="23"/>
      <c r="J15" s="528" t="s">
        <v>130</v>
      </c>
      <c r="K15" s="529"/>
    </row>
    <row r="16" spans="1:12" x14ac:dyDescent="0.3">
      <c r="B16" s="278"/>
      <c r="C16" t="s">
        <v>155</v>
      </c>
      <c r="E16" s="11"/>
      <c r="F16" s="11"/>
      <c r="G16" s="11"/>
      <c r="H16" s="11"/>
      <c r="I16" s="23"/>
      <c r="J16" s="285" t="s">
        <v>131</v>
      </c>
      <c r="K16" s="286">
        <f>$B$16*$K$28</f>
        <v>0</v>
      </c>
    </row>
    <row r="17" spans="1:12" x14ac:dyDescent="0.3">
      <c r="B17" s="324" t="str" cm="1">
        <f t="array" ref="B17">IF(SUM((RDP_Effectif[ETP moyen annuel])*(RDP_Effectif[Affectation]=RIGHT($A$15,11)))=0,"",$B$16/SUM((RDP_Effectif[ETP moyen annuel])*(RDP_Effectif[Affectation]=RIGHT($A$15,11))))</f>
        <v/>
      </c>
      <c r="C17" t="s">
        <v>156</v>
      </c>
      <c r="E17" s="11"/>
      <c r="F17" s="11"/>
      <c r="G17" s="11"/>
      <c r="H17" s="11"/>
      <c r="I17" s="23"/>
      <c r="J17" s="287" t="s">
        <v>132</v>
      </c>
      <c r="K17" s="288">
        <f>$K$16*(1-$K$29)</f>
        <v>0</v>
      </c>
    </row>
    <row r="18" spans="1:12" x14ac:dyDescent="0.3">
      <c r="I18" s="23"/>
      <c r="J18" s="289" t="s">
        <v>133</v>
      </c>
      <c r="K18" s="290">
        <f>$K$16*$K$29</f>
        <v>0</v>
      </c>
    </row>
    <row r="19" spans="1:12" x14ac:dyDescent="0.3">
      <c r="I19" s="23"/>
      <c r="J19" s="289" t="s">
        <v>369</v>
      </c>
      <c r="K19" s="288">
        <f>$K$18*$K$30</f>
        <v>0</v>
      </c>
    </row>
    <row r="20" spans="1:12" ht="21" x14ac:dyDescent="0.4">
      <c r="A20" s="538" t="s">
        <v>88</v>
      </c>
      <c r="B20" s="539"/>
      <c r="C20" s="539"/>
      <c r="D20" s="539"/>
      <c r="E20" s="539"/>
      <c r="F20" s="540"/>
      <c r="I20" s="23"/>
      <c r="J20" s="289" t="s">
        <v>370</v>
      </c>
      <c r="K20" s="288">
        <f>$K$18*$K$31</f>
        <v>0</v>
      </c>
    </row>
    <row r="21" spans="1:12" ht="15.6" x14ac:dyDescent="0.3">
      <c r="A21" s="281" t="s">
        <v>89</v>
      </c>
      <c r="B21" s="541" t="s">
        <v>147</v>
      </c>
      <c r="C21" s="542"/>
      <c r="D21" s="543"/>
      <c r="E21" s="544" t="s">
        <v>148</v>
      </c>
      <c r="F21" s="545"/>
      <c r="I21" s="23"/>
      <c r="J21" s="287" t="s">
        <v>143</v>
      </c>
      <c r="K21" s="291">
        <f>(K17*K33*K32*0.25+K17*K35*K34+K17*K37*K36)*K38</f>
        <v>0</v>
      </c>
    </row>
    <row r="22" spans="1:12" ht="15.6" x14ac:dyDescent="0.3">
      <c r="A22" s="68"/>
      <c r="B22" s="69" t="s">
        <v>90</v>
      </c>
      <c r="C22" s="69" t="s">
        <v>91</v>
      </c>
      <c r="D22" s="69" t="s">
        <v>77</v>
      </c>
      <c r="E22" s="69" t="s">
        <v>91</v>
      </c>
      <c r="F22" s="69" t="s">
        <v>77</v>
      </c>
      <c r="I22" s="23"/>
      <c r="J22" s="287" t="s">
        <v>144</v>
      </c>
      <c r="K22" s="291">
        <f>(K19*K33*K32*0+K19*K35*K34*0+K19*K37*K36*0.5)*K38</f>
        <v>0</v>
      </c>
      <c r="L22" s="92"/>
    </row>
    <row r="23" spans="1:12" ht="15.6" x14ac:dyDescent="0.3">
      <c r="A23" s="70" t="s">
        <v>92</v>
      </c>
      <c r="B23" s="71">
        <f>Data!$B$5</f>
        <v>365</v>
      </c>
      <c r="C23" s="71">
        <f>Data!$B$7</f>
        <v>8</v>
      </c>
      <c r="D23" s="71">
        <f>B23*C23</f>
        <v>2920</v>
      </c>
      <c r="E23" s="71"/>
      <c r="F23" s="71">
        <f>D23</f>
        <v>2920</v>
      </c>
      <c r="I23" s="23"/>
      <c r="J23" s="287" t="s">
        <v>169</v>
      </c>
      <c r="K23" s="291">
        <f>(K20*K33*K32*0.25+K20*K35*K34+K20*K37*K36)*K38*0.5</f>
        <v>0</v>
      </c>
    </row>
    <row r="24" spans="1:12" ht="15" thickBot="1" x14ac:dyDescent="0.35">
      <c r="A24" s="72" t="s">
        <v>364</v>
      </c>
      <c r="B24" s="73">
        <f>Data!$B$5-NETWORKDAYS(DATE(Data!$B$4,1,1),DATE(Data!$B$4+1,1,1)-1)</f>
        <v>104</v>
      </c>
      <c r="C24" s="73">
        <f>B24*C23</f>
        <v>832</v>
      </c>
      <c r="D24" s="73">
        <f>D23-C24</f>
        <v>2088</v>
      </c>
      <c r="E24" s="73"/>
      <c r="F24" s="73">
        <f>D24</f>
        <v>2088</v>
      </c>
      <c r="I24" s="23"/>
      <c r="J24" s="292" t="s">
        <v>145</v>
      </c>
      <c r="K24" s="293">
        <f>SUM(K21:K23)</f>
        <v>0</v>
      </c>
    </row>
    <row r="25" spans="1:12" ht="15" thickBot="1" x14ac:dyDescent="0.35">
      <c r="A25" s="74" t="s">
        <v>373</v>
      </c>
      <c r="B25" s="73">
        <f>Data!$B$8</f>
        <v>11</v>
      </c>
      <c r="C25" s="73">
        <f>B25*C23</f>
        <v>88</v>
      </c>
      <c r="D25" s="73">
        <f>D24-C25</f>
        <v>2000</v>
      </c>
      <c r="E25" s="73"/>
      <c r="F25" s="73">
        <f t="shared" ref="F25:F30" si="0">D25</f>
        <v>2000</v>
      </c>
      <c r="I25" s="23"/>
      <c r="J25" s="298" t="s">
        <v>146</v>
      </c>
      <c r="K25" s="299" cm="1">
        <f t="array" ref="K25">IF(SUM((RDP_Effectif[ETP après déduction des h de maladie])*(RDP_Effectif[Affectation]=RIGHT($J$7,11)))=0,0,$K$24/SUM((RDP_Effectif[ETP après déduction des h de maladie])*(RDP_Effectif[Affectation]=RIGHT($J$7,11))))</f>
        <v>0</v>
      </c>
    </row>
    <row r="26" spans="1:12" ht="15" thickBot="1" x14ac:dyDescent="0.35">
      <c r="A26" s="72" t="s">
        <v>170</v>
      </c>
      <c r="B26" s="73">
        <f>Data!$B$9</f>
        <v>34</v>
      </c>
      <c r="C26" s="73">
        <f>B26*C23</f>
        <v>272</v>
      </c>
      <c r="D26" s="73">
        <f>D25-C26</f>
        <v>1728</v>
      </c>
      <c r="E26" s="73"/>
      <c r="F26" s="73">
        <f t="shared" si="0"/>
        <v>1728</v>
      </c>
      <c r="I26" s="23"/>
    </row>
    <row r="27" spans="1:12" ht="21.6" thickBot="1" x14ac:dyDescent="0.45">
      <c r="A27" s="70" t="s">
        <v>93</v>
      </c>
      <c r="B27" s="71"/>
      <c r="C27" s="71"/>
      <c r="D27" s="71">
        <f>D23-C24-C25-C26</f>
        <v>1728</v>
      </c>
      <c r="E27" s="71"/>
      <c r="F27" s="71">
        <f t="shared" si="0"/>
        <v>1728</v>
      </c>
      <c r="I27" s="23"/>
      <c r="J27" s="300" t="s">
        <v>86</v>
      </c>
      <c r="K27" s="301"/>
    </row>
    <row r="28" spans="1:12" x14ac:dyDescent="0.3">
      <c r="A28" s="72" t="s">
        <v>94</v>
      </c>
      <c r="B28" s="73"/>
      <c r="C28" s="73">
        <v>1</v>
      </c>
      <c r="D28" s="73">
        <f>D27-C28</f>
        <v>1727</v>
      </c>
      <c r="E28" s="73"/>
      <c r="F28" s="73">
        <f t="shared" si="0"/>
        <v>1727</v>
      </c>
      <c r="H28" s="536" t="s">
        <v>154</v>
      </c>
      <c r="I28" s="23"/>
      <c r="J28" s="302" t="s">
        <v>140</v>
      </c>
      <c r="K28" s="303">
        <v>0.9</v>
      </c>
    </row>
    <row r="29" spans="1:12" x14ac:dyDescent="0.3">
      <c r="A29" s="72" t="s">
        <v>95</v>
      </c>
      <c r="B29" s="73"/>
      <c r="C29" s="73">
        <v>2</v>
      </c>
      <c r="D29" s="73">
        <f t="shared" ref="D29:D45" si="1">D28-C29</f>
        <v>1725</v>
      </c>
      <c r="E29" s="73"/>
      <c r="F29" s="73">
        <f t="shared" si="0"/>
        <v>1725</v>
      </c>
      <c r="H29" s="536"/>
      <c r="I29" s="23"/>
      <c r="J29" s="304" t="s">
        <v>141</v>
      </c>
      <c r="K29" s="305">
        <v>0.51</v>
      </c>
    </row>
    <row r="30" spans="1:12" x14ac:dyDescent="0.3">
      <c r="A30" s="72" t="s">
        <v>96</v>
      </c>
      <c r="B30" s="73"/>
      <c r="C30" s="73">
        <v>6</v>
      </c>
      <c r="D30" s="73">
        <f t="shared" si="1"/>
        <v>1719</v>
      </c>
      <c r="E30" s="73"/>
      <c r="F30" s="73">
        <f t="shared" si="0"/>
        <v>1719</v>
      </c>
      <c r="H30" s="536"/>
      <c r="I30" s="23"/>
      <c r="J30" s="304" t="s">
        <v>371</v>
      </c>
      <c r="K30" s="412">
        <v>0.6</v>
      </c>
    </row>
    <row r="31" spans="1:12" x14ac:dyDescent="0.3">
      <c r="A31" s="72" t="s">
        <v>97</v>
      </c>
      <c r="B31" s="73"/>
      <c r="C31" s="73">
        <v>1.97</v>
      </c>
      <c r="D31" s="73">
        <f t="shared" si="1"/>
        <v>1717.03</v>
      </c>
      <c r="E31" s="325">
        <f>$K$12</f>
        <v>0</v>
      </c>
      <c r="F31" s="73">
        <f>F30-E31</f>
        <v>1719</v>
      </c>
      <c r="I31" s="23"/>
      <c r="J31" s="304" t="s">
        <v>372</v>
      </c>
      <c r="K31" s="412">
        <v>0.4</v>
      </c>
    </row>
    <row r="32" spans="1:12" x14ac:dyDescent="0.3">
      <c r="A32" s="72" t="s">
        <v>98</v>
      </c>
      <c r="B32" s="73"/>
      <c r="C32" s="73">
        <v>1.68</v>
      </c>
      <c r="D32" s="73">
        <f t="shared" si="1"/>
        <v>1715.35</v>
      </c>
      <c r="E32" s="325">
        <f>$K$25</f>
        <v>0</v>
      </c>
      <c r="F32" s="73">
        <f>F31-E32</f>
        <v>1719</v>
      </c>
      <c r="I32" s="23"/>
      <c r="J32" s="287" t="s">
        <v>135</v>
      </c>
      <c r="K32" s="296">
        <v>122</v>
      </c>
      <c r="L32" s="92"/>
    </row>
    <row r="33" spans="1:12" x14ac:dyDescent="0.3">
      <c r="A33" s="72" t="s">
        <v>201</v>
      </c>
      <c r="B33" s="73"/>
      <c r="C33" s="73">
        <v>1.43</v>
      </c>
      <c r="D33" s="73">
        <f t="shared" si="1"/>
        <v>1713.9199999999998</v>
      </c>
      <c r="E33" s="73"/>
      <c r="F33" s="73">
        <f>F32-E33-C33</f>
        <v>1717.57</v>
      </c>
      <c r="I33" s="23"/>
      <c r="J33" s="287" t="s">
        <v>134</v>
      </c>
      <c r="K33" s="306">
        <v>0.45</v>
      </c>
    </row>
    <row r="34" spans="1:12" ht="14.4" customHeight="1" x14ac:dyDescent="0.3">
      <c r="A34" s="94" t="s">
        <v>230</v>
      </c>
      <c r="B34" s="73"/>
      <c r="C34" s="73">
        <v>0</v>
      </c>
      <c r="D34" s="73">
        <f t="shared" si="1"/>
        <v>1713.9199999999998</v>
      </c>
      <c r="E34" s="73"/>
      <c r="F34" s="73">
        <f t="shared" ref="F34:F45" si="2">F33-E34-C34</f>
        <v>1717.57</v>
      </c>
      <c r="I34" s="23"/>
      <c r="J34" s="287" t="s">
        <v>137</v>
      </c>
      <c r="K34" s="296">
        <v>61</v>
      </c>
      <c r="L34" s="92"/>
    </row>
    <row r="35" spans="1:12" x14ac:dyDescent="0.3">
      <c r="A35" s="94" t="s">
        <v>231</v>
      </c>
      <c r="B35" s="73"/>
      <c r="C35" s="73">
        <v>4.9000000000000004</v>
      </c>
      <c r="D35" s="73">
        <f t="shared" si="1"/>
        <v>1709.0199999999998</v>
      </c>
      <c r="E35" s="73"/>
      <c r="F35" s="73">
        <f t="shared" si="2"/>
        <v>1712.6699999999998</v>
      </c>
      <c r="I35" s="23"/>
      <c r="J35" s="287" t="s">
        <v>136</v>
      </c>
      <c r="K35" s="306">
        <v>0.41</v>
      </c>
    </row>
    <row r="36" spans="1:12" x14ac:dyDescent="0.3">
      <c r="A36" s="94" t="s">
        <v>232</v>
      </c>
      <c r="B36" s="73"/>
      <c r="C36" s="73">
        <v>8.4</v>
      </c>
      <c r="D36" s="73">
        <f t="shared" si="1"/>
        <v>1700.6199999999997</v>
      </c>
      <c r="E36" s="73"/>
      <c r="F36" s="73">
        <f t="shared" si="2"/>
        <v>1704.2699999999998</v>
      </c>
      <c r="I36" s="23"/>
      <c r="J36" s="287" t="s">
        <v>139</v>
      </c>
      <c r="K36" s="296">
        <v>182</v>
      </c>
      <c r="L36" s="92"/>
    </row>
    <row r="37" spans="1:12" x14ac:dyDescent="0.3">
      <c r="A37" s="94" t="s">
        <v>233</v>
      </c>
      <c r="B37" s="73"/>
      <c r="C37" s="73">
        <v>3.2</v>
      </c>
      <c r="D37" s="73">
        <f t="shared" si="1"/>
        <v>1697.4199999999996</v>
      </c>
      <c r="E37" s="73"/>
      <c r="F37" s="73">
        <f>F36-E37-C37</f>
        <v>1701.0699999999997</v>
      </c>
      <c r="I37" s="23"/>
      <c r="J37" s="287" t="s">
        <v>138</v>
      </c>
      <c r="K37" s="306">
        <v>0.12</v>
      </c>
    </row>
    <row r="38" spans="1:12" ht="15" thickBot="1" x14ac:dyDescent="0.35">
      <c r="A38" s="2" t="s">
        <v>99</v>
      </c>
      <c r="B38" s="73"/>
      <c r="C38" s="73">
        <v>86.35</v>
      </c>
      <c r="D38" s="73">
        <f>D37-C38</f>
        <v>1611.0699999999997</v>
      </c>
      <c r="E38" s="325">
        <f>IF($F$6="",0,$F$6)</f>
        <v>0</v>
      </c>
      <c r="F38" s="73">
        <f>F37-E38</f>
        <v>1701.0699999999997</v>
      </c>
      <c r="I38" s="23"/>
      <c r="J38" s="292" t="s">
        <v>142</v>
      </c>
      <c r="K38" s="307">
        <v>1.5</v>
      </c>
    </row>
    <row r="39" spans="1:12" ht="28.8" x14ac:dyDescent="0.3">
      <c r="A39" s="75" t="s">
        <v>100</v>
      </c>
      <c r="B39" s="73"/>
      <c r="C39" s="73"/>
      <c r="D39" s="73">
        <f t="shared" si="1"/>
        <v>1611.0699999999997</v>
      </c>
      <c r="E39" s="73"/>
      <c r="F39" s="73">
        <f>F38-E39-C39</f>
        <v>1701.0699999999997</v>
      </c>
      <c r="I39" s="23"/>
    </row>
    <row r="40" spans="1:12" x14ac:dyDescent="0.3">
      <c r="A40" s="72" t="s">
        <v>101</v>
      </c>
      <c r="B40" s="73"/>
      <c r="C40" s="73"/>
      <c r="D40" s="73">
        <f t="shared" si="1"/>
        <v>1611.0699999999997</v>
      </c>
      <c r="E40" s="73"/>
      <c r="F40" s="73">
        <f t="shared" si="2"/>
        <v>1701.0699999999997</v>
      </c>
      <c r="I40" s="23"/>
    </row>
    <row r="41" spans="1:12" x14ac:dyDescent="0.3">
      <c r="A41" s="72" t="s">
        <v>102</v>
      </c>
      <c r="B41" s="73"/>
      <c r="C41" s="73"/>
      <c r="D41" s="73">
        <f t="shared" si="1"/>
        <v>1611.0699999999997</v>
      </c>
      <c r="E41" s="73"/>
      <c r="F41" s="73">
        <f t="shared" si="2"/>
        <v>1701.0699999999997</v>
      </c>
      <c r="I41" s="23"/>
    </row>
    <row r="42" spans="1:12" x14ac:dyDescent="0.3">
      <c r="A42" s="72" t="s">
        <v>103</v>
      </c>
      <c r="B42" s="73"/>
      <c r="C42" s="73"/>
      <c r="D42" s="73">
        <f t="shared" si="1"/>
        <v>1611.0699999999997</v>
      </c>
      <c r="E42" s="73"/>
      <c r="F42" s="73">
        <f t="shared" si="2"/>
        <v>1701.0699999999997</v>
      </c>
      <c r="I42" s="23"/>
    </row>
    <row r="43" spans="1:12" x14ac:dyDescent="0.3">
      <c r="A43" s="72" t="s">
        <v>104</v>
      </c>
      <c r="B43" s="73"/>
      <c r="C43" s="73"/>
      <c r="D43" s="73">
        <f t="shared" si="1"/>
        <v>1611.0699999999997</v>
      </c>
      <c r="E43" s="73"/>
      <c r="F43" s="73">
        <f t="shared" si="2"/>
        <v>1701.0699999999997</v>
      </c>
      <c r="I43" s="23"/>
    </row>
    <row r="44" spans="1:12" x14ac:dyDescent="0.3">
      <c r="A44" s="72" t="s">
        <v>105</v>
      </c>
      <c r="B44" s="73"/>
      <c r="C44" s="73"/>
      <c r="D44" s="73">
        <f t="shared" si="1"/>
        <v>1611.0699999999997</v>
      </c>
      <c r="E44" s="73"/>
      <c r="F44" s="73">
        <f t="shared" si="2"/>
        <v>1701.0699999999997</v>
      </c>
      <c r="I44" s="23"/>
    </row>
    <row r="45" spans="1:12" x14ac:dyDescent="0.3">
      <c r="A45" s="72" t="s">
        <v>106</v>
      </c>
      <c r="B45" s="73"/>
      <c r="C45" s="73"/>
      <c r="D45" s="73">
        <f t="shared" si="1"/>
        <v>1611.0699999999997</v>
      </c>
      <c r="E45" s="73"/>
      <c r="F45" s="73">
        <f t="shared" si="2"/>
        <v>1701.0699999999997</v>
      </c>
      <c r="I45" s="23"/>
    </row>
    <row r="46" spans="1:12" ht="15.6" x14ac:dyDescent="0.3">
      <c r="A46" s="70" t="s">
        <v>93</v>
      </c>
      <c r="B46" s="71"/>
      <c r="C46" s="71"/>
      <c r="D46" s="71">
        <f>D45-C46</f>
        <v>1611.0699999999997</v>
      </c>
      <c r="E46" s="71"/>
      <c r="F46" s="71">
        <f>F38</f>
        <v>1701.0699999999997</v>
      </c>
      <c r="I46" s="23"/>
    </row>
    <row r="47" spans="1:12" x14ac:dyDescent="0.3">
      <c r="A47" s="72" t="s">
        <v>107</v>
      </c>
      <c r="B47" s="73"/>
      <c r="C47" s="73">
        <f>Data!$B$10</f>
        <v>24</v>
      </c>
      <c r="D47" s="73">
        <f>D46-C47</f>
        <v>1587.0699999999997</v>
      </c>
      <c r="E47" s="325">
        <f>IF($B$13="",0,$B$13)</f>
        <v>0</v>
      </c>
      <c r="F47" s="73">
        <f>F46-E47</f>
        <v>1701.0699999999997</v>
      </c>
      <c r="I47" s="23"/>
    </row>
    <row r="48" spans="1:12" x14ac:dyDescent="0.3">
      <c r="A48" s="72" t="s">
        <v>108</v>
      </c>
      <c r="B48" s="73"/>
      <c r="C48" s="73"/>
      <c r="D48" s="73">
        <f>D47-C48</f>
        <v>1587.0699999999997</v>
      </c>
      <c r="E48" s="73"/>
      <c r="F48" s="73"/>
      <c r="I48" s="23"/>
    </row>
    <row r="49" spans="1:9" ht="15.6" x14ac:dyDescent="0.3">
      <c r="A49" s="76" t="s">
        <v>339</v>
      </c>
      <c r="B49" s="71"/>
      <c r="C49" s="71"/>
      <c r="D49" s="79">
        <f>ROUND(D48,0)</f>
        <v>1587</v>
      </c>
      <c r="E49" s="71"/>
      <c r="F49" s="71">
        <f>F47</f>
        <v>1701.0699999999997</v>
      </c>
      <c r="I49" s="23"/>
    </row>
    <row r="50" spans="1:9" x14ac:dyDescent="0.3">
      <c r="A50" s="537" t="s">
        <v>109</v>
      </c>
      <c r="B50" s="537"/>
      <c r="C50" s="537"/>
      <c r="D50" s="537"/>
      <c r="E50" s="537"/>
      <c r="F50" s="537"/>
      <c r="I50" s="23"/>
    </row>
    <row r="51" spans="1:9" x14ac:dyDescent="0.3">
      <c r="I51" s="23"/>
    </row>
    <row r="52" spans="1:9" x14ac:dyDescent="0.3">
      <c r="I52" s="23"/>
    </row>
    <row r="53" spans="1:9" x14ac:dyDescent="0.3">
      <c r="I53" s="23"/>
    </row>
    <row r="54" spans="1:9" x14ac:dyDescent="0.3">
      <c r="I54" s="23"/>
    </row>
    <row r="55" spans="1:9" x14ac:dyDescent="0.3">
      <c r="I55" s="23"/>
    </row>
    <row r="56" spans="1:9" ht="30" customHeight="1" x14ac:dyDescent="0.3">
      <c r="I56" s="23"/>
    </row>
  </sheetData>
  <sheetProtection algorithmName="SHA-512" hashValue="19uXC6IYTttt5VZldMzZqnZURgN5M5ZzaO5VxIxxDF52a+u2v6wnF8ws5uzQGGDkolJXwnPb93RNScAsi+t0oQ==" saltValue="fOEUU0KoPbIF2wzS5yyJWQ==" spinCount="100000" sheet="1" objects="1" scenarios="1"/>
  <mergeCells count="13">
    <mergeCell ref="F3:G3"/>
    <mergeCell ref="B4:E4"/>
    <mergeCell ref="F4:G4"/>
    <mergeCell ref="J4:K4"/>
    <mergeCell ref="F5:G5"/>
    <mergeCell ref="F6:G6"/>
    <mergeCell ref="J15:K15"/>
    <mergeCell ref="A8:G9"/>
    <mergeCell ref="H28:H30"/>
    <mergeCell ref="A50:F50"/>
    <mergeCell ref="A20:F20"/>
    <mergeCell ref="B21:D21"/>
    <mergeCell ref="E21:F21"/>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1D62F-764C-4F6E-9828-5C6BAF2FF9AF}">
  <sheetPr>
    <tabColor theme="9" tint="0.79998168889431442"/>
  </sheetPr>
  <dimension ref="A1:D17"/>
  <sheetViews>
    <sheetView workbookViewId="0">
      <selection activeCell="C10" sqref="C10"/>
    </sheetView>
  </sheetViews>
  <sheetFormatPr defaultColWidth="11.44140625" defaultRowHeight="14.4" x14ac:dyDescent="0.3"/>
  <cols>
    <col min="1" max="1" width="26.6640625" bestFit="1" customWidth="1"/>
    <col min="2" max="2" width="36.109375" customWidth="1"/>
    <col min="3" max="4" width="17.44140625" customWidth="1"/>
    <col min="5" max="7" width="22.44140625" customWidth="1"/>
    <col min="8" max="9" width="19.44140625" customWidth="1"/>
  </cols>
  <sheetData>
    <row r="1" spans="1:4" ht="21" x14ac:dyDescent="0.4">
      <c r="A1" s="153" t="s">
        <v>422</v>
      </c>
      <c r="B1" s="153"/>
    </row>
    <row r="2" spans="1:4" ht="27" customHeight="1" thickBot="1" x14ac:dyDescent="0.35">
      <c r="A2" s="496" t="s">
        <v>490</v>
      </c>
      <c r="B2" s="141"/>
    </row>
    <row r="3" spans="1:4" ht="63" thickBot="1" x14ac:dyDescent="0.35">
      <c r="A3" s="308" t="s">
        <v>375</v>
      </c>
      <c r="B3" s="444" t="s">
        <v>376</v>
      </c>
      <c r="C3" s="308" t="s">
        <v>476</v>
      </c>
      <c r="D3" s="495" t="s">
        <v>477</v>
      </c>
    </row>
    <row r="4" spans="1:4" x14ac:dyDescent="0.3">
      <c r="A4" s="442" t="s">
        <v>478</v>
      </c>
      <c r="B4" s="442" t="s">
        <v>499</v>
      </c>
      <c r="C4" s="486"/>
      <c r="D4" s="489"/>
    </row>
    <row r="5" spans="1:4" x14ac:dyDescent="0.3">
      <c r="A5" s="443" t="s">
        <v>478</v>
      </c>
      <c r="B5" s="443" t="s">
        <v>480</v>
      </c>
      <c r="C5" s="463"/>
      <c r="D5" s="490"/>
    </row>
    <row r="6" spans="1:4" x14ac:dyDescent="0.3">
      <c r="A6" s="443" t="s">
        <v>478</v>
      </c>
      <c r="B6" s="443" t="s">
        <v>488</v>
      </c>
      <c r="C6" s="463"/>
      <c r="D6" s="491"/>
    </row>
    <row r="7" spans="1:4" x14ac:dyDescent="0.3">
      <c r="A7" s="443" t="s">
        <v>478</v>
      </c>
      <c r="B7" s="443" t="s">
        <v>157</v>
      </c>
      <c r="C7" s="463"/>
      <c r="D7" s="491"/>
    </row>
    <row r="8" spans="1:4" x14ac:dyDescent="0.3">
      <c r="A8" s="443" t="s">
        <v>478</v>
      </c>
      <c r="B8" s="443" t="s">
        <v>481</v>
      </c>
      <c r="C8" s="487"/>
      <c r="D8" s="491"/>
    </row>
    <row r="9" spans="1:4" ht="28.8" x14ac:dyDescent="0.3">
      <c r="A9" s="443" t="s">
        <v>478</v>
      </c>
      <c r="B9" s="443" t="s">
        <v>584</v>
      </c>
      <c r="C9" s="487"/>
      <c r="D9" s="491"/>
    </row>
    <row r="10" spans="1:4" ht="29.4" thickBot="1" x14ac:dyDescent="0.35">
      <c r="A10" s="443" t="s">
        <v>478</v>
      </c>
      <c r="B10" s="443" t="s">
        <v>158</v>
      </c>
      <c r="C10" s="487"/>
      <c r="D10" s="491"/>
    </row>
    <row r="11" spans="1:4" x14ac:dyDescent="0.3">
      <c r="A11" s="442" t="s">
        <v>479</v>
      </c>
      <c r="B11" s="442" t="s">
        <v>499</v>
      </c>
      <c r="C11" s="486"/>
      <c r="D11" s="492"/>
    </row>
    <row r="12" spans="1:4" ht="28.8" x14ac:dyDescent="0.3">
      <c r="A12" s="443" t="s">
        <v>479</v>
      </c>
      <c r="B12" s="443" t="s">
        <v>506</v>
      </c>
      <c r="C12" s="464"/>
      <c r="D12" s="490"/>
    </row>
    <row r="13" spans="1:4" x14ac:dyDescent="0.3">
      <c r="A13" s="443" t="s">
        <v>479</v>
      </c>
      <c r="B13" s="443" t="s">
        <v>507</v>
      </c>
      <c r="C13" s="464"/>
      <c r="D13" s="493"/>
    </row>
    <row r="14" spans="1:4" x14ac:dyDescent="0.3">
      <c r="A14" s="443" t="s">
        <v>479</v>
      </c>
      <c r="B14" s="443" t="s">
        <v>157</v>
      </c>
      <c r="C14" s="464"/>
      <c r="D14" s="493"/>
    </row>
    <row r="15" spans="1:4" x14ac:dyDescent="0.3">
      <c r="A15" s="443" t="s">
        <v>479</v>
      </c>
      <c r="B15" s="443" t="s">
        <v>481</v>
      </c>
      <c r="C15" s="487"/>
      <c r="D15" s="493"/>
    </row>
    <row r="16" spans="1:4" ht="28.8" x14ac:dyDescent="0.3">
      <c r="A16" s="443" t="s">
        <v>479</v>
      </c>
      <c r="B16" s="443" t="s">
        <v>584</v>
      </c>
      <c r="C16" s="487"/>
      <c r="D16" s="493"/>
    </row>
    <row r="17" spans="1:4" ht="29.4" thickBot="1" x14ac:dyDescent="0.35">
      <c r="A17" s="467" t="s">
        <v>479</v>
      </c>
      <c r="B17" s="467" t="s">
        <v>508</v>
      </c>
      <c r="C17" s="488"/>
      <c r="D17" s="494"/>
    </row>
  </sheetData>
  <sheetProtection algorithmName="SHA-512" hashValue="CtdWo8IzHWJAutxfhlp3skwvE4stJMIcGVdMquUlGmc72rfpcD1YhS7aaX2jF7aTjS2qAVvkH3bgoHZNQRWZbA==" saltValue="yBQq58WJbb9c789lDKbj/A==" spinCount="100000" sheet="1" objects="1" scenarios="1"/>
  <dataValidations count="1">
    <dataValidation type="decimal" operator="greaterThanOrEqual" allowBlank="1" showInputMessage="1" showErrorMessage="1" errorTitle="Error" error="Les montants doivent être renseignés en positif" sqref="C4:D17" xr:uid="{3195A110-3EB9-42BF-A103-56AFE6214DAC}">
      <formula1>0</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B535E-AD96-4FC3-B1C1-832F7038E6A6}">
  <sheetPr>
    <tabColor rgb="FFC00000"/>
  </sheetPr>
  <dimension ref="A1:F41"/>
  <sheetViews>
    <sheetView workbookViewId="0"/>
  </sheetViews>
  <sheetFormatPr defaultColWidth="11.44140625" defaultRowHeight="14.4" outlineLevelRow="1" x14ac:dyDescent="0.3"/>
  <cols>
    <col min="1" max="1" width="85.5546875" bestFit="1" customWidth="1"/>
    <col min="2" max="4" width="23.5546875" customWidth="1"/>
    <col min="5" max="5" width="33.6640625" customWidth="1"/>
    <col min="6" max="6" width="23.5546875" customWidth="1"/>
  </cols>
  <sheetData>
    <row r="1" spans="1:6" ht="21" x14ac:dyDescent="0.4">
      <c r="A1" s="153" t="s">
        <v>583</v>
      </c>
    </row>
    <row r="2" spans="1:6" ht="15" thickBot="1" x14ac:dyDescent="0.35"/>
    <row r="3" spans="1:6" s="30" customFormat="1" ht="29.4" thickBot="1" x14ac:dyDescent="0.35">
      <c r="A3" s="342" t="s">
        <v>384</v>
      </c>
      <c r="B3" s="343" t="s">
        <v>193</v>
      </c>
      <c r="C3" s="344" t="s">
        <v>3</v>
      </c>
      <c r="D3" s="345" t="s">
        <v>194</v>
      </c>
      <c r="E3" s="66"/>
      <c r="F3" s="66"/>
    </row>
    <row r="4" spans="1:6" x14ac:dyDescent="0.3">
      <c r="A4" s="361" t="s">
        <v>479</v>
      </c>
      <c r="B4" s="362">
        <f>SUM('F2 - Facturation H'!$H$4:$H$22)+'F2 - Facturation J'!$H$13</f>
        <v>0</v>
      </c>
      <c r="C4" s="362">
        <f>SUM('F2 - Facturation H'!$L$4:$L$22)+'F2 - Facturation J'!$J$13</f>
        <v>0</v>
      </c>
      <c r="D4" s="363">
        <f>IF($B4="","",$C4-$B4)</f>
        <v>0</v>
      </c>
      <c r="E4" s="10"/>
      <c r="F4" s="10"/>
    </row>
    <row r="5" spans="1:6" ht="15" thickBot="1" x14ac:dyDescent="0.35">
      <c r="A5" s="346" t="s">
        <v>46</v>
      </c>
      <c r="B5" s="347">
        <f>SUM(B4:B4)</f>
        <v>0</v>
      </c>
      <c r="C5" s="347">
        <f>SUM(C4:C4)</f>
        <v>0</v>
      </c>
      <c r="D5" s="348">
        <f>$C5-$B5</f>
        <v>0</v>
      </c>
      <c r="E5" s="10"/>
      <c r="F5" s="10"/>
    </row>
    <row r="6" spans="1:6" ht="15" thickBot="1" x14ac:dyDescent="0.35">
      <c r="E6" s="370" t="str">
        <f>IF(C5=0,"",IF(D5&lt;&gt;0,"A vérifier entre les parties","ok"))</f>
        <v/>
      </c>
      <c r="F6" s="10"/>
    </row>
    <row r="7" spans="1:6" s="331" customFormat="1" ht="29.4" thickBot="1" x14ac:dyDescent="0.35">
      <c r="A7" s="350" t="s">
        <v>385</v>
      </c>
      <c r="B7" s="351" t="s">
        <v>197</v>
      </c>
      <c r="C7" s="352" t="s">
        <v>198</v>
      </c>
      <c r="D7" s="349"/>
      <c r="E7" s="12"/>
      <c r="F7" s="12"/>
    </row>
    <row r="8" spans="1:6" hidden="1" outlineLevel="1" x14ac:dyDescent="0.3">
      <c r="A8" s="341" t="s">
        <v>391</v>
      </c>
      <c r="B8" s="332" cm="1">
        <f t="array" ref="B8">SUM((RDP_Effectif[Coût salaire annuel])*(RDP_Effectif[Prestation]=7)*(RDP_Effectif[Type de personnel]="Personnel"))</f>
        <v>0</v>
      </c>
      <c r="C8" s="353" cm="1">
        <f t="array" ref="C8">IF(SUM(('F2 - Facturation H'!$Q$4:$Q$11)*('F2 - Facturation H'!$N$4:$N$11=7))=0,0,$B8/SUM(('F2 - Facturation H'!$Q$4:$Q$11)*('F2 - Facturation H'!$N$4:$N$11=7)))</f>
        <v>0</v>
      </c>
      <c r="D8" s="355"/>
      <c r="E8" s="332"/>
      <c r="F8" s="332"/>
    </row>
    <row r="9" spans="1:6" hidden="1" outlineLevel="1" x14ac:dyDescent="0.3">
      <c r="A9" s="341" t="s">
        <v>392</v>
      </c>
      <c r="B9" s="332" cm="1">
        <f t="array" ref="B9">SUM((RDP_Effectif[Coût salaire annuel])*(RDP_Effectif[Prestation]="8.1")*(RDP_Effectif[Type de personnel]="Personnel"))</f>
        <v>0</v>
      </c>
      <c r="C9" s="353" cm="1">
        <f t="array" ref="C9">IF(SUM(('F2 - Facturation H'!$Q$4:$Q$11)*('F2 - Facturation H'!$N$4:$N$11="8.1"))=0,0,$B9/SUM(('F2 - Facturation H'!$Q$4:$Q$11)*('F2 - Facturation H'!$N$4:$N$11="8.1")))</f>
        <v>0</v>
      </c>
      <c r="D9" s="355"/>
      <c r="E9" s="332"/>
      <c r="F9" s="332"/>
    </row>
    <row r="10" spans="1:6" hidden="1" outlineLevel="1" x14ac:dyDescent="0.3">
      <c r="A10" s="341" t="s">
        <v>393</v>
      </c>
      <c r="B10" s="332" cm="1">
        <f t="array" ref="B10">SUM((RDP_Effectif[Coût salaire annuel])*(RDP_Effectif[Prestation]="8.2")*(RDP_Effectif[Type de personnel]="Personnel"))</f>
        <v>0</v>
      </c>
      <c r="C10" s="353" cm="1">
        <f t="array" ref="C10">IF(SUM(('F2 - Facturation H'!$Q$4:$Q$11)*('F2 - Facturation H'!$N$4:$N$11="8.2"))=0,0,$B10/SUM(('F2 - Facturation H'!$Q$4:$Q$11)*('F2 - Facturation H'!$N$4:$N$11="8.2")))</f>
        <v>0</v>
      </c>
      <c r="D10" s="355"/>
      <c r="E10" s="332"/>
      <c r="F10" s="332"/>
    </row>
    <row r="11" spans="1:6" hidden="1" outlineLevel="1" x14ac:dyDescent="0.3">
      <c r="A11" s="341" t="s">
        <v>394</v>
      </c>
      <c r="B11" s="332" cm="1">
        <f t="array" ref="B11">SUM((RDP_Effectif[Coût salaire annuel])*(RDP_Effectif[Prestation]="8.3")*(RDP_Effectif[Type de personnel]="Personnel"))</f>
        <v>0</v>
      </c>
      <c r="C11" s="353" cm="1">
        <f t="array" ref="C11">IF(SUM(('F2 - Facturation H'!$Q$4:$Q$11)*('F2 - Facturation H'!$N$4:$N$11="8.3"))=0,0,$B11/SUM(('F2 - Facturation H'!$Q$4:$Q$11)*('F2 - Facturation H'!$N$4:$N$11="8.3")))</f>
        <v>0</v>
      </c>
      <c r="D11" s="355"/>
      <c r="E11" s="334"/>
      <c r="F11" s="332"/>
    </row>
    <row r="12" spans="1:6" hidden="1" outlineLevel="1" x14ac:dyDescent="0.3">
      <c r="A12" s="341" t="s">
        <v>395</v>
      </c>
      <c r="B12" s="332" cm="1">
        <f t="array" ref="B12">SUM((RDP_Effectif[Coût salaire annuel])*(RDP_Effectif[Prestation]="9.1")*(RDP_Effectif[Type de personnel]="Personnel"))</f>
        <v>0</v>
      </c>
      <c r="C12" s="353" cm="1">
        <f t="array" ref="C12">IF(SUM(('F2 - Facturation H'!$Q$4:$Q$11)*('F2 - Facturation H'!$N$4:$N$11="9.1"))=0,0,$B12/SUM(('F2 - Facturation H'!$Q$4:$Q$11)*('F2 - Facturation H'!$N$4:$N$11="9.1")))</f>
        <v>0</v>
      </c>
      <c r="D12" s="355"/>
      <c r="E12" s="334"/>
      <c r="F12" s="332"/>
    </row>
    <row r="13" spans="1:6" hidden="1" outlineLevel="1" x14ac:dyDescent="0.3">
      <c r="A13" s="341" t="s">
        <v>396</v>
      </c>
      <c r="B13" s="332" cm="1">
        <f t="array" ref="B13">SUM((RDP_Effectif[Coût salaire annuel])*(RDP_Effectif[Prestation]=11)*(RDP_Effectif[Type de personnel]="Personnel"))</f>
        <v>0</v>
      </c>
      <c r="C13" s="353" cm="1">
        <f t="array" ref="C13">IF(SUM(('F2 - Facturation H'!$Q$4:$Q$11)*('F2 - Facturation H'!$N$4:$N$11=11))=0,0,$B13/SUM(('F2 - Facturation H'!$Q$4:$Q$11)*('F2 - Facturation H'!$N$4:$N$11=11)))</f>
        <v>0</v>
      </c>
      <c r="D13" s="355"/>
      <c r="E13" s="334"/>
      <c r="F13" s="332"/>
    </row>
    <row r="14" spans="1:6" hidden="1" outlineLevel="1" x14ac:dyDescent="0.3">
      <c r="A14" s="341" t="s">
        <v>397</v>
      </c>
      <c r="B14" s="332" cm="1">
        <f t="array" ref="B14">SUM((RDP_Effectif[Coût salaire annuel])*(RDP_Effectif[Prestation]="Base/Ortho")*(RDP_Effectif[Type de personnel]="Personnel"))</f>
        <v>0</v>
      </c>
      <c r="C14" s="353" t="e" cm="1">
        <f t="array" ref="C14">IF(SUM(('F2 - Facturation J'!$P$5:$P$10)*('F2 - Facturation J'!$M$5:$M$10="Base/Ortho"))=0,0,$B14/SUM(('F2 - Facturation J'!$P$5:$P$10)*('F2 - Facturation J'!$M$5:$M$10="Base/Ortho")))</f>
        <v>#N/A</v>
      </c>
      <c r="D14" s="355"/>
      <c r="E14" s="334"/>
      <c r="F14" s="332"/>
    </row>
    <row r="15" spans="1:6" hidden="1" outlineLevel="1" x14ac:dyDescent="0.3">
      <c r="A15" s="341" t="s">
        <v>398</v>
      </c>
      <c r="B15" s="332" cm="1">
        <f t="array" ref="B15">SUM((RDP_Effectif[Coût salaire annuel])*(RDP_Effectif[Prestation]="Ortho/Psycho")*(RDP_Effectif[Type de personnel]="Personnel"))</f>
        <v>0</v>
      </c>
      <c r="C15" s="353" t="e" cm="1">
        <f t="array" ref="C15">IF(SUM(('F2 - Facturation J'!$P$5:$P$10)*('F2 - Facturation J'!$M$5:$M$10="Ortho/Psycho"))=0,0,$B15/SUM(('F2 - Facturation J'!$P$5:$P$10)*('F2 - Facturation J'!$M$5:$M$10="Ortho/Psycho")))</f>
        <v>#N/A</v>
      </c>
      <c r="D15" s="355"/>
      <c r="E15" s="334"/>
      <c r="F15" s="332"/>
    </row>
    <row r="16" spans="1:6" hidden="1" outlineLevel="1" x14ac:dyDescent="0.3">
      <c r="A16" s="341" t="s">
        <v>399</v>
      </c>
      <c r="B16" s="332" cm="1">
        <f t="array" ref="B16">SUM((RDP_Effectif[Coût salaire annuel])*(RDP_Effectif[Prestation]="AUSC")*(RDP_Effectif[Type de personnel]="Personnel"))</f>
        <v>0</v>
      </c>
      <c r="C16" s="353" t="e" cm="1">
        <f t="array" ref="C16">IF(SUM(('F2 - Facturation J'!$P$5:$P$10)*('F2 - Facturation J'!$M$5:$M$10="AUSC"))=0,0,$B16/SUM(('F2 - Facturation J'!$P$5:$P$10)*('F2 - Facturation J'!$M$5:$M$10="AUSC")))</f>
        <v>#N/A</v>
      </c>
      <c r="D16" s="355"/>
      <c r="E16" s="334"/>
      <c r="F16" s="332"/>
    </row>
    <row r="17" spans="1:6" hidden="1" outlineLevel="1" x14ac:dyDescent="0.3">
      <c r="A17" s="341" t="s">
        <v>400</v>
      </c>
      <c r="B17" s="332" cm="1">
        <f t="array" ref="B17">SUM((RDP_Effectif[Coût salaire annuel])*(RDP_Effectif[Prestation]="0-3 ans")*(RDP_Effectif[Type de personnel]="Personnel"))</f>
        <v>0</v>
      </c>
      <c r="C17" s="353" t="e" cm="1">
        <f t="array" ref="C17">IF(SUM(('F2 - Facturation J'!$P$5:$P$10)*('F2 - Facturation J'!$M$5:$M$10="0-3 ans"))=0,0,$B17/SUM(('F2 - Facturation J'!$P$5:$P$10)*('F2 - Facturation J'!$M$5:$M$10="0-3 ans")))</f>
        <v>#N/A</v>
      </c>
      <c r="D17" s="355"/>
      <c r="E17" s="334"/>
      <c r="F17" s="332"/>
    </row>
    <row r="18" spans="1:6" hidden="1" outlineLevel="1" x14ac:dyDescent="0.3">
      <c r="A18" s="341" t="s">
        <v>401</v>
      </c>
      <c r="B18" s="332" cm="1">
        <f t="array" ref="B18">SUM((RDP_Effectif[Coût salaire annuel])*(RDP_Effectif[Prestation]="Petit groupe")*(RDP_Effectif[Type de personnel]="Personnel"))</f>
        <v>0</v>
      </c>
      <c r="C18" s="353" t="e" cm="1">
        <f t="array" ref="C18">IF(SUM(('F2 - Facturation J'!$P$5:$P$10)*('F2 - Facturation J'!$M$5:$M$10="Petit groupe"))=0,0,$B18/SUM(('F2 - Facturation J'!$P$5:$P$10)*('F2 - Facturation J'!$M$5:$M$10="Petit groupe")))</f>
        <v>#N/A</v>
      </c>
      <c r="D18" s="355"/>
      <c r="E18" s="334"/>
      <c r="F18" s="332"/>
    </row>
    <row r="19" spans="1:6" hidden="1" outlineLevel="1" x14ac:dyDescent="0.3">
      <c r="A19" s="341" t="s">
        <v>405</v>
      </c>
      <c r="B19" s="332" cm="1">
        <f t="array" ref="B19">SUM((RDP_Effectif[Coût salaire annuel])*(RDP_Effectif[Prestation]="Accueil de jour ortho")*(RDP_Effectif[Type de personnel]="Personnel"))</f>
        <v>0</v>
      </c>
      <c r="C19" s="353" t="e" cm="1">
        <f t="array" ref="C19">IF(SUM(('F2 - Facturation J'!$P$5:$P$10)*('F2 - Facturation J'!$M$5:$M$10="Accueil de jour ortho"))=0,0,$B19/SUM(('F2 - Facturation J'!$P$5:$P$10)*('F2 - Facturation J'!$M$5:$M$10="Accueil de jour ortho")))</f>
        <v>#N/A</v>
      </c>
      <c r="D19" s="355"/>
      <c r="E19" s="334"/>
      <c r="F19" s="332"/>
    </row>
    <row r="20" spans="1:6" hidden="1" outlineLevel="1" x14ac:dyDescent="0.3">
      <c r="A20" s="341" t="s">
        <v>406</v>
      </c>
      <c r="B20" s="332" cm="1">
        <f t="array" ref="B20">SUM((RDP_Effectif[Coût salaire annuel])*(RDP_Effectif[Prestation]="Accueil de jour psycho")*(RDP_Effectif[Type de personnel]="Personnel"))</f>
        <v>0</v>
      </c>
      <c r="C20" s="353" t="e" cm="1">
        <f t="array" ref="C20">IF(SUM(('F2 - Facturation J'!$P$5:$P$10)*('F2 - Facturation J'!$M$5:$M$10="Accueil de jour psycho"))=0,0,$B20/SUM(('F2 - Facturation J'!$P$5:$P$10)*('F2 - Facturation J'!$M$5:$M$10="Accueil de jour psycho")))</f>
        <v>#N/A</v>
      </c>
      <c r="D20" s="355"/>
      <c r="E20" s="334"/>
      <c r="F20" s="332"/>
    </row>
    <row r="21" spans="1:6" collapsed="1" x14ac:dyDescent="0.3">
      <c r="A21" s="341" t="s">
        <v>386</v>
      </c>
      <c r="B21" s="332" cm="1">
        <f t="array" ref="B21">SUM((RDP_Effectif[Coût salaire annuel])*(RDP_Effectif[Affectation]="Encadrement"))</f>
        <v>0</v>
      </c>
      <c r="C21" s="353" t="e">
        <f>IF('F0 - Générales'!$B$6="Horaire",$B21/'F2 - Facturation H'!$P$11,$B21/('F2 - Facturation J'!$P$11+'F2 - Facturation J'!$P$16))</f>
        <v>#N/A</v>
      </c>
      <c r="D21" s="332" t="s">
        <v>228</v>
      </c>
      <c r="E21" s="333"/>
      <c r="F21" s="332"/>
    </row>
    <row r="22" spans="1:6" x14ac:dyDescent="0.3">
      <c r="A22" s="341" t="s">
        <v>387</v>
      </c>
      <c r="B22" s="332" cm="1">
        <f t="array" ref="B22">SUM((RDP_Effectif[Coût salaire annuel])*(RDP_Effectif[Affectation]="Logistique directement liée à l'activité"))</f>
        <v>0</v>
      </c>
      <c r="C22" s="353" t="e">
        <f>IF('F0 - Générales'!$B$6="Horaire",$B22/'F2 - Facturation H'!$P$11,$B22/('F2 - Facturation J'!$P$11+'F2 - Facturation J'!$P$16))</f>
        <v>#N/A</v>
      </c>
      <c r="D22" s="332" t="s">
        <v>228</v>
      </c>
      <c r="E22" s="334"/>
      <c r="F22" s="332"/>
    </row>
    <row r="23" spans="1:6" x14ac:dyDescent="0.3">
      <c r="A23" s="341" t="s">
        <v>388</v>
      </c>
      <c r="B23" s="332" cm="1">
        <f t="array" ref="B23">SUM((RDP_Effectif[Coût salaire annuel])*(RDP_Effectif[Affectation]="Administration/logistique indirectement liée à l'activité"))</f>
        <v>0</v>
      </c>
      <c r="C23" s="353" t="e">
        <f>IF('F0 - Générales'!$B$6="Horaire",$B23/'F2 - Facturation H'!$P$11,$B23/('F2 - Facturation J'!$P$11+'F2 - Facturation J'!$P$16))</f>
        <v>#N/A</v>
      </c>
      <c r="D23" s="332" t="s">
        <v>228</v>
      </c>
      <c r="E23" s="334"/>
      <c r="F23" s="332"/>
    </row>
    <row r="24" spans="1:6" x14ac:dyDescent="0.3">
      <c r="A24" s="341" t="s">
        <v>420</v>
      </c>
      <c r="B24" s="332" cm="1">
        <f t="array" ref="B24">SUM((RDP_Effectif[Coût salaire annuel])*(RDP_Effectif[Affectation]="Chargé de direction/direction générale"))</f>
        <v>0</v>
      </c>
      <c r="C24" s="353" t="e">
        <f>IF('F0 - Générales'!$B$6="Horaire",$B24/'F2 - Facturation H'!$P$11,$B24/('F2 - Facturation J'!$P$11+'F2 - Facturation J'!$P$16))</f>
        <v>#N/A</v>
      </c>
      <c r="D24" s="332" t="s">
        <v>228</v>
      </c>
      <c r="E24" s="334"/>
      <c r="F24" s="332"/>
    </row>
    <row r="25" spans="1:6" x14ac:dyDescent="0.3">
      <c r="A25" s="341" t="s">
        <v>389</v>
      </c>
      <c r="B25" s="332" cm="1">
        <f t="array" ref="B25">SUM((RDP_Spécifique[Coût salaire annuel])*(RDP_Spécifique[Type de personnel]="Travailleur désigné"))+
SUM((RDP_Spécifique[Coût salaire annuel])*(RDP_Spécifique[Type de personnel]="Délégation du personnel"))</f>
        <v>0</v>
      </c>
      <c r="C25" s="353" t="e">
        <f>IF('F0 - Générales'!$B$6="Horaire",$B25/'F2 - Facturation H'!$P$11,$B25/('F2 - Facturation J'!$P$11+'F2 - Facturation J'!$P$16))</f>
        <v>#N/A</v>
      </c>
      <c r="D25" s="332" t="s">
        <v>228</v>
      </c>
      <c r="E25" s="332"/>
      <c r="F25" s="332"/>
    </row>
    <row r="26" spans="1:6" x14ac:dyDescent="0.3">
      <c r="A26" s="341" t="s">
        <v>390</v>
      </c>
      <c r="B26" s="332" cm="1">
        <f t="array" ref="B26">SUM((RDP_Spécifique[Coût salaire annuel])*(RDP_Spécifique[Type de personnel]="Personnel dédié au RGPD"))</f>
        <v>0</v>
      </c>
      <c r="C26" s="353" t="e">
        <f>IF('F0 - Générales'!$B$6="Horaire",$B26/'F2 - Facturation H'!$P$11,$B26/('F2 - Facturation J'!$P$11+'F2 - Facturation J'!$P$16))</f>
        <v>#N/A</v>
      </c>
      <c r="D26" s="332" t="s">
        <v>228</v>
      </c>
      <c r="E26" s="332"/>
      <c r="F26" s="332"/>
    </row>
    <row r="27" spans="1:6" x14ac:dyDescent="0.3">
      <c r="A27" s="341" t="s">
        <v>424</v>
      </c>
      <c r="B27" s="332" cm="1">
        <f t="array" ref="B27">SUM((RDP_Spécifique[Coût salaire annuel])*(RDP_Spécifique[Type de personnel]="Stagiaire, apprenti, étudiant"))</f>
        <v>0</v>
      </c>
      <c r="C27" s="353" t="e">
        <f>IF('F0 - Générales'!$B$6="Horaire",$B27/'F2 - Facturation H'!$P$11,$B27/('F2 - Facturation J'!$P$11+'F2 - Facturation J'!$P$16))</f>
        <v>#N/A</v>
      </c>
      <c r="D27" s="332" t="s">
        <v>228</v>
      </c>
      <c r="E27" s="332"/>
      <c r="F27" s="332"/>
    </row>
    <row r="28" spans="1:6" x14ac:dyDescent="0.3">
      <c r="A28" s="356" t="s">
        <v>195</v>
      </c>
      <c r="B28" s="357">
        <f>SUM(B21:B27)</f>
        <v>0</v>
      </c>
      <c r="C28" s="358" t="e">
        <f>IF('F0 - Générales'!$B$6="Horaire",$B28/'F2 - Facturation H'!$P$11,$B28/('F2 - Facturation J'!$P$11+'F2 - Facturation J'!$P$16))</f>
        <v>#N/A</v>
      </c>
      <c r="D28" s="332" t="s">
        <v>228</v>
      </c>
      <c r="E28" s="78"/>
      <c r="F28" s="78"/>
    </row>
    <row r="29" spans="1:6" x14ac:dyDescent="0.3">
      <c r="A29" s="341" t="s">
        <v>579</v>
      </c>
      <c r="B29" s="78">
        <f>SUM('F5 - Frais et recettes'!$C$4:$D$10)-SUM('F5 - Frais et recettes'!$C$11:$D$17)</f>
        <v>0</v>
      </c>
      <c r="C29" s="354" t="e">
        <f>IF('F0 - Générales'!$B$6="Horaire",$B29/'F2 - Facturation H'!$P$11,$B29/('F2 - Facturation J'!$P$11+'F2 - Facturation J'!$P$16))</f>
        <v>#N/A</v>
      </c>
      <c r="D29" s="332" t="s">
        <v>228</v>
      </c>
      <c r="F29" s="78"/>
    </row>
    <row r="30" spans="1:6" x14ac:dyDescent="0.3">
      <c r="A30" s="356" t="s">
        <v>200</v>
      </c>
      <c r="B30" s="357">
        <f>$B$28+B29</f>
        <v>0</v>
      </c>
      <c r="C30" s="358" t="e">
        <f>C28+C29</f>
        <v>#N/A</v>
      </c>
      <c r="D30" s="93"/>
      <c r="E30" s="314"/>
      <c r="F30" s="93"/>
    </row>
    <row r="31" spans="1:6" ht="15" thickBot="1" x14ac:dyDescent="0.35">
      <c r="A31" s="337"/>
      <c r="B31" s="316"/>
      <c r="C31" s="316"/>
      <c r="D31" s="316"/>
      <c r="E31" s="316"/>
      <c r="F31" s="316"/>
    </row>
    <row r="32" spans="1:6" s="331" customFormat="1" ht="28.8" x14ac:dyDescent="0.3">
      <c r="A32" s="359" t="s">
        <v>581</v>
      </c>
      <c r="B32" s="470" t="s">
        <v>268</v>
      </c>
      <c r="C32" s="471" t="s">
        <v>196</v>
      </c>
      <c r="D32" s="472" t="s">
        <v>219</v>
      </c>
    </row>
    <row r="33" spans="1:6" ht="30" customHeight="1" x14ac:dyDescent="0.3">
      <c r="A33" s="390" t="s">
        <v>580</v>
      </c>
      <c r="B33" s="360">
        <f>$B$5-B30</f>
        <v>0</v>
      </c>
      <c r="C33" s="360" t="e">
        <f>IF('F0 - Générales'!$B$6="Horaire",$B33/'F2 - Facturation H'!$P$11,$B33/('F2 - Facturation J'!$P$11+'F2 - Facturation J'!$P$16))</f>
        <v>#N/A</v>
      </c>
      <c r="D33" s="473">
        <f>IF($B$5=0,0,B33/$B$5)</f>
        <v>0</v>
      </c>
      <c r="E33" s="81" t="s">
        <v>226</v>
      </c>
      <c r="F33" s="82">
        <v>0.04</v>
      </c>
    </row>
    <row r="36" spans="1:6" ht="15" hidden="1" customHeight="1" thickBot="1" x14ac:dyDescent="0.35">
      <c r="A36" s="336" t="s">
        <v>220</v>
      </c>
      <c r="B36" s="315" t="s">
        <v>78</v>
      </c>
    </row>
    <row r="37" spans="1:6" ht="15" hidden="1" customHeight="1" thickTop="1" x14ac:dyDescent="0.3">
      <c r="A37" s="339" t="s">
        <v>221</v>
      </c>
      <c r="B37" s="335" t="e">
        <f>IF('F0 - Générales'!#REF!="horaire",#REF!,IF('F0 - Générales'!#REF!="journalier",#REF!,0))</f>
        <v>#REF!</v>
      </c>
    </row>
    <row r="38" spans="1:6" ht="14.4" hidden="1" customHeight="1" x14ac:dyDescent="0.3">
      <c r="A38" t="s">
        <v>222</v>
      </c>
      <c r="B38" s="335" t="e">
        <f>#REF!</f>
        <v>#REF!</v>
      </c>
    </row>
    <row r="39" spans="1:6" ht="14.4" hidden="1" customHeight="1" x14ac:dyDescent="0.3">
      <c r="A39" t="s">
        <v>223</v>
      </c>
      <c r="B39" s="335" t="e">
        <f>#REF!</f>
        <v>#REF!</v>
      </c>
    </row>
    <row r="40" spans="1:6" ht="14.4" hidden="1" customHeight="1" x14ac:dyDescent="0.3">
      <c r="A40" s="340" t="s">
        <v>225</v>
      </c>
      <c r="B40" s="335">
        <f>IF(B33-IF(C5=0,B5*F33,C5*F33)&lt;0,0,B33-IF(C5=0,B5*F33,C5*F33))</f>
        <v>0</v>
      </c>
    </row>
    <row r="41" spans="1:6" ht="14.4" hidden="1" customHeight="1" x14ac:dyDescent="0.3">
      <c r="A41" s="338" t="s">
        <v>46</v>
      </c>
      <c r="B41" s="80" t="e">
        <f>SUM(B37:B39)</f>
        <v>#REF!</v>
      </c>
    </row>
  </sheetData>
  <sheetProtection algorithmName="SHA-512" hashValue="DWCUJYCHPgPtZaZ4up9xItn1QnB1Md//e/E7i+jllIRsKr970cjhS7cSDvry3E1og5niCrfpTCfNObTJAXayBw==" saltValue="PhkIIpYH39yZSjrIphVjeQ==" spinCount="100000" sheet="1" objects="1" scenario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A6B19-A18F-4FEC-9344-99650EA98027}">
  <sheetPr>
    <tabColor theme="0" tint="-0.34998626667073579"/>
    <pageSetUpPr fitToPage="1"/>
  </sheetPr>
  <dimension ref="A1:Y102"/>
  <sheetViews>
    <sheetView zoomScaleNormal="100" workbookViewId="0">
      <selection activeCell="G5" sqref="G5"/>
    </sheetView>
  </sheetViews>
  <sheetFormatPr defaultRowHeight="14.4" x14ac:dyDescent="0.3"/>
  <cols>
    <col min="1" max="1" width="6.6640625" customWidth="1"/>
    <col min="2" max="2" width="13.33203125" bestFit="1" customWidth="1"/>
    <col min="3" max="3" width="8.5546875" customWidth="1"/>
    <col min="4" max="4" width="8.33203125" customWidth="1"/>
    <col min="5" max="5" width="7.6640625" customWidth="1"/>
    <col min="6" max="6" width="10.5546875" bestFit="1" customWidth="1"/>
    <col min="10" max="10" width="11.5546875" bestFit="1" customWidth="1"/>
    <col min="15" max="15" width="9.5546875" bestFit="1" customWidth="1"/>
    <col min="22" max="22" width="9.109375" customWidth="1"/>
    <col min="23" max="23" width="10.44140625" bestFit="1" customWidth="1"/>
  </cols>
  <sheetData>
    <row r="1" spans="1:25" ht="21" x14ac:dyDescent="0.4">
      <c r="A1" s="153" t="s">
        <v>511</v>
      </c>
      <c r="G1" s="434"/>
    </row>
    <row r="2" spans="1:25" ht="15.6" x14ac:dyDescent="0.3">
      <c r="A2" s="557" t="s">
        <v>408</v>
      </c>
      <c r="B2" s="557"/>
      <c r="C2" s="96"/>
      <c r="D2" s="96"/>
      <c r="E2" s="96"/>
      <c r="F2" s="96"/>
      <c r="G2" s="96" t="s">
        <v>73</v>
      </c>
      <c r="H2" s="96"/>
      <c r="I2" s="96"/>
      <c r="J2" s="96" t="s">
        <v>443</v>
      </c>
      <c r="K2" s="96"/>
      <c r="L2" s="96"/>
      <c r="M2" s="96" t="s">
        <v>70</v>
      </c>
      <c r="N2" s="96"/>
      <c r="O2" s="96"/>
      <c r="P2" s="96" t="s">
        <v>466</v>
      </c>
      <c r="Q2" s="96"/>
      <c r="R2" s="96"/>
      <c r="S2" s="96" t="s">
        <v>467</v>
      </c>
      <c r="U2" s="439">
        <f>SUM(U4:U12)</f>
        <v>0</v>
      </c>
    </row>
    <row r="3" spans="1:25" ht="43.2" x14ac:dyDescent="0.3">
      <c r="A3" s="432" t="s">
        <v>425</v>
      </c>
      <c r="B3" s="432" t="s">
        <v>432</v>
      </c>
      <c r="C3" s="428" t="s">
        <v>434</v>
      </c>
      <c r="D3" s="428" t="s">
        <v>435</v>
      </c>
      <c r="E3" s="428" t="s">
        <v>436</v>
      </c>
      <c r="F3" s="429" t="s">
        <v>437</v>
      </c>
      <c r="G3" s="429" t="s">
        <v>438</v>
      </c>
      <c r="H3" s="429" t="s">
        <v>439</v>
      </c>
      <c r="I3" s="430" t="s">
        <v>440</v>
      </c>
      <c r="J3" s="430" t="s">
        <v>441</v>
      </c>
      <c r="K3" s="430" t="s">
        <v>442</v>
      </c>
      <c r="L3" s="429" t="s">
        <v>444</v>
      </c>
      <c r="M3" s="429" t="s">
        <v>445</v>
      </c>
      <c r="N3" s="429" t="s">
        <v>446</v>
      </c>
      <c r="O3" s="430" t="s">
        <v>447</v>
      </c>
      <c r="P3" s="430" t="s">
        <v>448</v>
      </c>
      <c r="Q3" s="430" t="s">
        <v>449</v>
      </c>
      <c r="R3" s="429" t="s">
        <v>473</v>
      </c>
      <c r="S3" s="429" t="s">
        <v>474</v>
      </c>
      <c r="T3" s="429" t="s">
        <v>475</v>
      </c>
      <c r="U3" s="433" t="s">
        <v>450</v>
      </c>
    </row>
    <row r="4" spans="1:25" x14ac:dyDescent="0.3">
      <c r="A4" t="s">
        <v>426</v>
      </c>
      <c r="B4" t="s">
        <v>340</v>
      </c>
      <c r="C4" s="65">
        <f>SUMIFS('F2 - Facturation J'!$E:$E,'F2 - Facturation J'!$B:$B,$B4)/Data!$B$5*SUMIFS(Data!$AH$4:$AH$18,Data!$AB$4:$AB$18,$B4)-
SUMIFS('F2 - Facturation J'!$E:$E,'F2 - Facturation J'!$B:$B,$B4)/Data!$B$5*SUMIFS(Data!$AH$4:$AH$18,Data!$AB$4:$AB$18,$B4)*0.1*80/Data!$B$5</f>
        <v>0</v>
      </c>
      <c r="D4" s="65" cm="1">
        <f t="array" ref="D4">SUM((RDP_Effectif[ETP après déduction des h de maladie])*(RDP_Effectif[Affectation]="Encadrement")*(RDP_Effectif[Prestation]=$B4))</f>
        <v>0</v>
      </c>
      <c r="E4" s="65">
        <v>0</v>
      </c>
      <c r="F4" s="65">
        <f>IF(AND($B4="Ortho/Psycho",$C4&lt;&gt;0),($C4-$R4)*3%,0)</f>
        <v>0</v>
      </c>
      <c r="G4" s="65" cm="1">
        <f t="array" ref="G4">IF(AND($B4="Ortho/Psycho",$C4&lt;&gt;0),SUM((RDP_Effectif[ETP après déduction des h de maladie])*(RDP_Effectif[Affectation]="Encadrement")*(_xlfn.XLOOKUP(RDP_Effectif[Carrière],Table4[Carrière],Table4[Equivalent carrière])="C7")),0)</f>
        <v>0</v>
      </c>
      <c r="H4" s="65">
        <f t="shared" ref="H4:H12" si="0">G4-F4</f>
        <v>0</v>
      </c>
      <c r="I4" s="65">
        <f>$C4*18.4%</f>
        <v>0</v>
      </c>
      <c r="J4" s="65" t="e" cm="1">
        <f t="array" ref="J4">SUM((RDP_Effectif[ETP après déduction des h de maladie])*(RDP_Effectif[Affectation]="Encadrement")*(RDP_Effectif[Prestation]=$B4)*(_xlfn.XLOOKUP(RDP_Effectif[Carrière],Table7[Carrière],Table7[Niveau qualification])="Post-secondaire"))</f>
        <v>#N/A</v>
      </c>
      <c r="K4" s="65" t="e">
        <f t="shared" ref="K4:K12" si="1">J4-I4</f>
        <v>#N/A</v>
      </c>
      <c r="L4" s="65">
        <f>$C4-$I4-$O4-$R4</f>
        <v>0</v>
      </c>
      <c r="M4" s="65" t="e" cm="1">
        <f t="array" ref="M4">SUM((RDP_Effectif[ETP après déduction des h de maladie])*(RDP_Effectif[Affectation]="Encadrement")*(RDP_Effectif[Prestation]=$B4)*(_xlfn.XLOOKUP(RDP_Effectif[Carrière],Table7[Carrière],Table7[Niveau qualification])="Secondaire"))</f>
        <v>#N/A</v>
      </c>
      <c r="N4" s="65" t="e">
        <f>M4-L4</f>
        <v>#N/A</v>
      </c>
      <c r="O4" s="65">
        <f t="shared" ref="O4:O11" si="2">$C4*16%</f>
        <v>0</v>
      </c>
      <c r="P4" s="65" t="e" cm="1">
        <f t="array" ref="P4">SUM((RDP_Effectif[ETP après déduction des h de maladie])*(RDP_Effectif[Affectation]="Encadrement")*(RDP_Effectif[Prestation]=$B4)*(_xlfn.XLOOKUP(RDP_Effectif[Carrière],Table7[Carrière],Table7[Niveau qualification])="ASF et aux. de vie"))</f>
        <v>#N/A</v>
      </c>
      <c r="Q4" s="65" t="e">
        <f t="shared" ref="Q4:Q12" si="3">P4-O4</f>
        <v>#N/A</v>
      </c>
      <c r="R4" s="65">
        <f>$C4*20%</f>
        <v>0</v>
      </c>
      <c r="S4" s="65" t="e" cm="1">
        <f t="array" ref="S4">SUM((RDP_Effectif[ETP après déduction des h de maladie])*(RDP_Effectif[Affectation]="Encadrement")*(RDP_Effectif[Prestation]=$B4)*(_xlfn.XLOOKUP(RDP_Effectif[Carrière],Table7[Carrière],Table7[Niveau qualification])="Non qualifié"))</f>
        <v>#N/A</v>
      </c>
      <c r="T4" s="65" t="e">
        <f>S4-R4</f>
        <v>#N/A</v>
      </c>
      <c r="U4" s="431">
        <f>+C4-I4-L4-O4-R4</f>
        <v>0</v>
      </c>
    </row>
    <row r="5" spans="1:25" x14ac:dyDescent="0.3">
      <c r="A5" t="s">
        <v>427</v>
      </c>
      <c r="B5" t="s">
        <v>237</v>
      </c>
      <c r="C5" s="65">
        <f>SUMIFS('F2 - Facturation J'!$E:$E,'F2 - Facturation J'!$B:$B,$B5)/Data!$B$5*SUMIFS(Data!$AH$4:$AH$18,Data!$AB$4:$AB$18,$B5)-
SUMIFS('F2 - Facturation J'!$E:$E,'F2 - Facturation J'!$B:$B,$B5)/Data!$B$5*SUMIFS(Data!$AH$4:$AH$18,Data!$AB$4:$AB$18,$B5)*0.1*80/Data!$B$5</f>
        <v>0</v>
      </c>
      <c r="D5" s="65" cm="1">
        <f t="array" ref="D5">SUM((RDP_Effectif[ETP après déduction des h de maladie])*(RDP_Effectif[Affectation]="Encadrement")*(RDP_Effectif[Prestation]=$B5))</f>
        <v>0</v>
      </c>
      <c r="E5" s="65">
        <v>0</v>
      </c>
      <c r="F5" s="65">
        <f t="shared" ref="F5:F11" si="4">IF(AND($B5="Ortho/Psycho",$C5&lt;&gt;0),($C5-$R5)*3%,0)</f>
        <v>0</v>
      </c>
      <c r="G5" s="65" cm="1">
        <f t="array" ref="G5">IF(AND($B5="Ortho/Psycho",$C5&lt;&gt;0),SUM((RDP_Effectif[ETP après déduction des h de maladie])*(RDP_Effectif[Affectation]="Encadrement")*(_xlfn.XLOOKUP(RDP_Effectif[Carrière],Table4[Carrière],Table4[Equivalent carrière])="C7")),0)</f>
        <v>0</v>
      </c>
      <c r="H5" s="65">
        <f>G5-F5</f>
        <v>0</v>
      </c>
      <c r="I5" s="65">
        <f>$C5*24%</f>
        <v>0</v>
      </c>
      <c r="J5" s="65" t="e" cm="1">
        <f t="array" ref="J5">SUM((RDP_Effectif[ETP après déduction des h de maladie])*(RDP_Effectif[Affectation]="Encadrement")*(RDP_Effectif[Prestation]=$B5)*(_xlfn.XLOOKUP(RDP_Effectif[Carrière],Table7[Carrière],Table7[Niveau qualification])="Post-secondaire"))</f>
        <v>#N/A</v>
      </c>
      <c r="K5" s="65" t="e">
        <f t="shared" si="1"/>
        <v>#N/A</v>
      </c>
      <c r="L5" s="65">
        <f t="shared" ref="L5:L11" si="5">$C5-$I5-$O5-$R5</f>
        <v>0</v>
      </c>
      <c r="M5" s="65" t="e" cm="1">
        <f t="array" ref="M5">SUM((RDP_Effectif[ETP après déduction des h de maladie])*(RDP_Effectif[Affectation]="Encadrement")*(RDP_Effectif[Prestation]=$B5)*(_xlfn.XLOOKUP(RDP_Effectif[Carrière],Table7[Carrière],Table7[Niveau qualification])="Secondaire"))</f>
        <v>#N/A</v>
      </c>
      <c r="N5" s="65" t="e">
        <f t="shared" ref="N5:N12" si="6">M5-L5</f>
        <v>#N/A</v>
      </c>
      <c r="O5" s="65">
        <f t="shared" si="2"/>
        <v>0</v>
      </c>
      <c r="P5" s="65" t="e" cm="1">
        <f t="array" ref="P5">SUM((RDP_Effectif[ETP après déduction des h de maladie])*(RDP_Effectif[Affectation]="Encadrement")*(RDP_Effectif[Prestation]=$B5)*(_xlfn.XLOOKUP(RDP_Effectif[Carrière],Table7[Carrière],Table7[Niveau qualification])="ASF et aux. de vie"))</f>
        <v>#N/A</v>
      </c>
      <c r="Q5" s="65" t="e">
        <f t="shared" si="3"/>
        <v>#N/A</v>
      </c>
      <c r="R5" s="65">
        <f>$C5*20%</f>
        <v>0</v>
      </c>
      <c r="S5" s="65" t="e" cm="1">
        <f t="array" ref="S5">SUM((RDP_Effectif[ETP après déduction des h de maladie])*(RDP_Effectif[Affectation]="Encadrement")*(RDP_Effectif[Prestation]=$B5)*(_xlfn.XLOOKUP(RDP_Effectif[Carrière],Table7[Carrière],Table7[Niveau qualification])="Non qualifié"))</f>
        <v>#N/A</v>
      </c>
      <c r="T5" s="65" t="e">
        <f t="shared" ref="T5:T12" si="7">S5-R5</f>
        <v>#N/A</v>
      </c>
      <c r="U5" s="431">
        <f t="shared" ref="U5:U12" si="8">+C5-I5-L5-O5-R5</f>
        <v>0</v>
      </c>
    </row>
    <row r="6" spans="1:25" x14ac:dyDescent="0.3">
      <c r="A6" t="s">
        <v>428</v>
      </c>
      <c r="B6" t="s">
        <v>110</v>
      </c>
      <c r="C6" s="65">
        <f>SUMIFS('F2 - Facturation J'!$E:$E,'F2 - Facturation J'!$B:$B,$B6)/Data!$B$5*SUMIFS(Data!$AH$4:$AH$18,Data!$AB$4:$AB$18,$B6)-
SUMIFS('F2 - Facturation J'!$E:$E,'F2 - Facturation J'!$B:$B,$B6)/Data!$B$5*SUMIFS(Data!$AH$4:$AH$18,Data!$AB$4:$AB$18,$B6)*0.1*80/Data!$B$5</f>
        <v>0</v>
      </c>
      <c r="D6" s="65" cm="1">
        <f t="array" ref="D6">SUM((RDP_Effectif[ETP après déduction des h de maladie])*(RDP_Effectif[Affectation]="Encadrement")*(RDP_Effectif[Prestation]=$B6))</f>
        <v>0</v>
      </c>
      <c r="E6" s="65">
        <v>0</v>
      </c>
      <c r="F6" s="65">
        <f t="shared" si="4"/>
        <v>0</v>
      </c>
      <c r="G6" s="65" cm="1">
        <f t="array" ref="G6">IF(AND($B6="Ortho/Psycho",$C6&lt;&gt;0),SUM((RDP_Effectif[ETP après déduction des h de maladie])*(RDP_Effectif[Affectation]="Encadrement")*(_xlfn.XLOOKUP(RDP_Effectif[Carrière],Table4[Carrière],Table4[Equivalent carrière])="C7")),0)</f>
        <v>0</v>
      </c>
      <c r="H6" s="65">
        <f t="shared" si="0"/>
        <v>0</v>
      </c>
      <c r="I6" s="65">
        <f>$C6*32%</f>
        <v>0</v>
      </c>
      <c r="J6" s="65" t="e" cm="1">
        <f t="array" ref="J6">SUM((RDP_Effectif[ETP après déduction des h de maladie])*(RDP_Effectif[Affectation]="Encadrement")*(RDP_Effectif[Prestation]=$B6)*(_xlfn.XLOOKUP(RDP_Effectif[Carrière],Table7[Carrière],Table7[Niveau qualification])="Post-secondaire"))</f>
        <v>#N/A</v>
      </c>
      <c r="K6" s="65" t="e">
        <f t="shared" si="1"/>
        <v>#N/A</v>
      </c>
      <c r="L6" s="65">
        <f t="shared" si="5"/>
        <v>0</v>
      </c>
      <c r="M6" s="65" t="e" cm="1">
        <f t="array" ref="M6">SUM((RDP_Effectif[ETP après déduction des h de maladie])*(RDP_Effectif[Affectation]="Encadrement")*(RDP_Effectif[Prestation]=$B6)*(_xlfn.XLOOKUP(RDP_Effectif[Carrière],Table7[Carrière],Table7[Niveau qualification])="Secondaire"))</f>
        <v>#N/A</v>
      </c>
      <c r="N6" s="65" t="e">
        <f t="shared" si="6"/>
        <v>#N/A</v>
      </c>
      <c r="O6" s="65">
        <f t="shared" si="2"/>
        <v>0</v>
      </c>
      <c r="P6" s="65" t="e" cm="1">
        <f t="array" ref="P6">SUM((RDP_Effectif[ETP après déduction des h de maladie])*(RDP_Effectif[Affectation]="Encadrement")*(RDP_Effectif[Prestation]=$B6)*(_xlfn.XLOOKUP(RDP_Effectif[Carrière],Table7[Carrière],Table7[Niveau qualification])="ASF et aux. de vie"))</f>
        <v>#N/A</v>
      </c>
      <c r="Q6" s="65" t="e">
        <f t="shared" si="3"/>
        <v>#N/A</v>
      </c>
      <c r="R6" s="65">
        <f t="shared" ref="R6:R11" si="9">$C6*20%</f>
        <v>0</v>
      </c>
      <c r="S6" s="65" t="e" cm="1">
        <f t="array" ref="S6">SUM((RDP_Effectif[ETP après déduction des h de maladie])*(RDP_Effectif[Affectation]="Encadrement")*(RDP_Effectif[Prestation]=$B6)*(_xlfn.XLOOKUP(RDP_Effectif[Carrière],Table7[Carrière],Table7[Niveau qualification])="Non qualifié"))</f>
        <v>#N/A</v>
      </c>
      <c r="T6" s="65" t="e">
        <f t="shared" si="7"/>
        <v>#N/A</v>
      </c>
      <c r="U6" s="431">
        <f t="shared" si="8"/>
        <v>0</v>
      </c>
    </row>
    <row r="7" spans="1:25" x14ac:dyDescent="0.3">
      <c r="A7" t="s">
        <v>429</v>
      </c>
      <c r="B7" t="s">
        <v>112</v>
      </c>
      <c r="C7" s="65">
        <f>SUMIFS('F2 - Facturation J'!$E:$E,'F2 - Facturation J'!$B:$B,$B7)/Data!$B$5*SUMIFS(Data!$AH$4:$AH$18,Data!$AB$4:$AB$18,$B7)-
SUMIFS('F2 - Facturation J'!$E:$E,'F2 - Facturation J'!$B:$B,$B7)/Data!$B$5*SUMIFS(Data!$AH$4:$AH$18,Data!$AB$4:$AB$18,$B7)*0.1*80/Data!$B$5</f>
        <v>0</v>
      </c>
      <c r="D7" s="65" cm="1">
        <f t="array" ref="D7">SUM((RDP_Effectif[ETP après déduction des h de maladie])*(RDP_Effectif[Affectation]="Encadrement")*(RDP_Effectif[Prestation]=$B7))</f>
        <v>0</v>
      </c>
      <c r="E7" s="65">
        <v>0</v>
      </c>
      <c r="F7" s="65">
        <f t="shared" si="4"/>
        <v>0</v>
      </c>
      <c r="G7" s="65" cm="1">
        <f t="array" ref="G7">IF(AND($B7="Ortho/Psycho",$C7&lt;&gt;0),SUM((RDP_Effectif[ETP après déduction des h de maladie])*(RDP_Effectif[Affectation]="Encadrement")*(_xlfn.XLOOKUP(RDP_Effectif[Carrière],Table4[Carrière],Table4[Equivalent carrière])="C7")),0)</f>
        <v>0</v>
      </c>
      <c r="H7" s="65">
        <f t="shared" si="0"/>
        <v>0</v>
      </c>
      <c r="I7" s="65">
        <f>$C7*32%</f>
        <v>0</v>
      </c>
      <c r="J7" s="65" t="e" cm="1">
        <f t="array" ref="J7">SUM((RDP_Effectif[ETP après déduction des h de maladie])*(RDP_Effectif[Affectation]="Encadrement")*(RDP_Effectif[Prestation]=$B7)*(_xlfn.XLOOKUP(RDP_Effectif[Carrière],Table7[Carrière],Table7[Niveau qualification])="Post-secondaire"))</f>
        <v>#N/A</v>
      </c>
      <c r="K7" s="65" t="e">
        <f t="shared" si="1"/>
        <v>#N/A</v>
      </c>
      <c r="L7" s="65">
        <f>$C7-$I7-$O7-$R7</f>
        <v>0</v>
      </c>
      <c r="M7" s="65" t="e" cm="1">
        <f t="array" ref="M7">SUM((RDP_Effectif[ETP après déduction des h de maladie])*(RDP_Effectif[Affectation]="Encadrement")*(RDP_Effectif[Prestation]=$B7)*(_xlfn.XLOOKUP(RDP_Effectif[Carrière],Table7[Carrière],Table7[Niveau qualification])="Secondaire"))</f>
        <v>#N/A</v>
      </c>
      <c r="N7" s="65" t="e">
        <f t="shared" si="6"/>
        <v>#N/A</v>
      </c>
      <c r="O7" s="65">
        <f>$C7*16%</f>
        <v>0</v>
      </c>
      <c r="P7" s="65" t="e" cm="1">
        <f t="array" ref="P7">SUM((RDP_Effectif[ETP après déduction des h de maladie])*(RDP_Effectif[Affectation]="Encadrement")*(RDP_Effectif[Prestation]=$B7)*(_xlfn.XLOOKUP(RDP_Effectif[Carrière],Table7[Carrière],Table7[Niveau qualification])="ASF et aux. de vie"))</f>
        <v>#N/A</v>
      </c>
      <c r="Q7" s="65" t="e">
        <f t="shared" si="3"/>
        <v>#N/A</v>
      </c>
      <c r="R7" s="65">
        <f t="shared" si="9"/>
        <v>0</v>
      </c>
      <c r="S7" s="65" t="e" cm="1">
        <f t="array" ref="S7">SUM((RDP_Effectif[ETP après déduction des h de maladie])*(RDP_Effectif[Affectation]="Encadrement")*(RDP_Effectif[Prestation]=$B7)*(_xlfn.XLOOKUP(RDP_Effectif[Carrière],Table7[Carrière],Table7[Niveau qualification])="Non qualifié"))</f>
        <v>#N/A</v>
      </c>
      <c r="T7" s="65" t="e">
        <f t="shared" si="7"/>
        <v>#N/A</v>
      </c>
      <c r="U7" s="431">
        <f t="shared" si="8"/>
        <v>0</v>
      </c>
    </row>
    <row r="8" spans="1:25" x14ac:dyDescent="0.3">
      <c r="A8" t="s">
        <v>430</v>
      </c>
      <c r="B8" t="s">
        <v>111</v>
      </c>
      <c r="C8" s="65">
        <f>SUMIFS('F2 - Facturation J'!$E:$E,'F2 - Facturation J'!$B:$B,$B8)/Data!$B$5*SUMIFS(Data!$AH$4:$AH$18,Data!$AB$4:$AB$18,$B8)-
SUMIFS('F2 - Facturation J'!$E:$E,'F2 - Facturation J'!$B:$B,$B8)/Data!$B$5*SUMIFS(Data!$AH$4:$AH$18,Data!$AB$4:$AB$18,$B8)*0.1*80/Data!$B$5</f>
        <v>0</v>
      </c>
      <c r="D8" s="65" cm="1">
        <f t="array" ref="D8">SUM((RDP_Effectif[ETP après déduction des h de maladie])*(RDP_Effectif[Affectation]="Encadrement")*(RDP_Effectif[Prestation]=$B8))</f>
        <v>0</v>
      </c>
      <c r="E8" s="65">
        <v>0</v>
      </c>
      <c r="F8" s="65">
        <f t="shared" si="4"/>
        <v>0</v>
      </c>
      <c r="G8" s="65" cm="1">
        <f t="array" ref="G8">IF(AND($B8="Ortho/Psycho",$C8&lt;&gt;0),SUM((RDP_Effectif[ETP après déduction des h de maladie])*(RDP_Effectif[Affectation]="Encadrement")*(_xlfn.XLOOKUP(RDP_Effectif[Carrière],Table4[Carrière],Table4[Equivalent carrière])="C7")),0)</f>
        <v>0</v>
      </c>
      <c r="H8" s="65">
        <f t="shared" si="0"/>
        <v>0</v>
      </c>
      <c r="I8" s="65">
        <f>$C8*32%</f>
        <v>0</v>
      </c>
      <c r="J8" s="65" t="e" cm="1">
        <f t="array" ref="J8">SUM((RDP_Effectif[ETP après déduction des h de maladie])*(RDP_Effectif[Affectation]="Encadrement")*(RDP_Effectif[Prestation]=$B8)*(_xlfn.XLOOKUP(RDP_Effectif[Carrière],Table7[Carrière],Table7[Niveau qualification])="Post-secondaire"))</f>
        <v>#N/A</v>
      </c>
      <c r="K8" s="65" t="e">
        <f t="shared" si="1"/>
        <v>#N/A</v>
      </c>
      <c r="L8" s="65">
        <f>$C8-$I8-$O8-$R8</f>
        <v>0</v>
      </c>
      <c r="M8" s="65" t="e" cm="1">
        <f t="array" ref="M8">SUM((RDP_Effectif[ETP après déduction des h de maladie])*(RDP_Effectif[Affectation]="Encadrement")*(RDP_Effectif[Prestation]=$B8)*(_xlfn.XLOOKUP(RDP_Effectif[Carrière],Table7[Carrière],Table7[Niveau qualification])="Secondaire"))</f>
        <v>#N/A</v>
      </c>
      <c r="N8" s="65" t="e">
        <f t="shared" si="6"/>
        <v>#N/A</v>
      </c>
      <c r="O8" s="65">
        <f t="shared" si="2"/>
        <v>0</v>
      </c>
      <c r="P8" s="65" t="e" cm="1">
        <f t="array" ref="P8">SUM((RDP_Effectif[ETP après déduction des h de maladie])*(RDP_Effectif[Affectation]="Encadrement")*(RDP_Effectif[Prestation]=$B8)*(_xlfn.XLOOKUP(RDP_Effectif[Carrière],Table7[Carrière],Table7[Niveau qualification])="ASF et aux. de vie"))</f>
        <v>#N/A</v>
      </c>
      <c r="Q8" s="65" t="e">
        <f t="shared" si="3"/>
        <v>#N/A</v>
      </c>
      <c r="R8" s="65">
        <f t="shared" si="9"/>
        <v>0</v>
      </c>
      <c r="S8" s="65" t="e" cm="1">
        <f t="array" ref="S8">SUM((RDP_Effectif[ETP après déduction des h de maladie])*(RDP_Effectif[Affectation]="Encadrement")*(RDP_Effectif[Prestation]=$B8)*(_xlfn.XLOOKUP(RDP_Effectif[Carrière],Table7[Carrière],Table7[Niveau qualification])="Non qualifié"))</f>
        <v>#N/A</v>
      </c>
      <c r="T8" s="65" t="e">
        <f t="shared" si="7"/>
        <v>#N/A</v>
      </c>
      <c r="U8" s="431">
        <f t="shared" si="8"/>
        <v>0</v>
      </c>
    </row>
    <row r="9" spans="1:25" x14ac:dyDescent="0.3">
      <c r="A9" t="s">
        <v>431</v>
      </c>
      <c r="B9" t="s">
        <v>229</v>
      </c>
      <c r="C9" s="65">
        <f>SUMIFS('F2 - Facturation J'!$E:$E,'F2 - Facturation J'!$B:$B,$B9)/Data!$B$5*SUMIFS(Data!$AH$4:$AH$18,Data!$AB$4:$AB$18,$B9)-
SUMIFS('F2 - Facturation J'!$E:$E,'F2 - Facturation J'!$B:$B,$B9)/Data!$B$5*SUMIFS(Data!$AH$4:$AH$18,Data!$AB$4:$AB$18,$B9)*0.1*80/Data!$B$5</f>
        <v>0</v>
      </c>
      <c r="D9" s="65" cm="1">
        <f t="array" ref="D9">SUM((RDP_Effectif[ETP après déduction des h de maladie])*(RDP_Effectif[Affectation]="Encadrement")*(RDP_Effectif[Prestation]=$B9))</f>
        <v>0</v>
      </c>
      <c r="E9" s="65">
        <v>0</v>
      </c>
      <c r="F9" s="65">
        <f t="shared" si="4"/>
        <v>0</v>
      </c>
      <c r="G9" s="65" cm="1">
        <f t="array" ref="G9">IF(AND($B9="Ortho/Psycho",$C9&lt;&gt;0),SUM((RDP_Effectif[ETP après déduction des h de maladie])*(RDP_Effectif[Affectation]="Encadrement")*(_xlfn.XLOOKUP(RDP_Effectif[Carrière],Table4[Carrière],Table4[Equivalent carrière])="C7")),0)</f>
        <v>0</v>
      </c>
      <c r="H9" s="65">
        <f t="shared" si="0"/>
        <v>0</v>
      </c>
      <c r="I9" s="65">
        <f>$C9*18.4%</f>
        <v>0</v>
      </c>
      <c r="J9" s="65" t="e" cm="1">
        <f t="array" ref="J9">SUM((RDP_Effectif[ETP après déduction des h de maladie])*(RDP_Effectif[Affectation]="Encadrement")*(RDP_Effectif[Prestation]=$B9)*(_xlfn.XLOOKUP(RDP_Effectif[Carrière],Table7[Carrière],Table7[Niveau qualification])="Post-secondaire"))</f>
        <v>#N/A</v>
      </c>
      <c r="K9" s="65" t="e">
        <f t="shared" si="1"/>
        <v>#N/A</v>
      </c>
      <c r="L9" s="65">
        <f t="shared" si="5"/>
        <v>0</v>
      </c>
      <c r="M9" s="65" t="e" cm="1">
        <f t="array" ref="M9">SUM((RDP_Effectif[ETP après déduction des h de maladie])*(RDP_Effectif[Affectation]="Encadrement")*(RDP_Effectif[Prestation]=$B9)*(_xlfn.XLOOKUP(RDP_Effectif[Carrière],Table7[Carrière],Table7[Niveau qualification])="Secondaire"))</f>
        <v>#N/A</v>
      </c>
      <c r="N9" s="65" t="e">
        <f t="shared" si="6"/>
        <v>#N/A</v>
      </c>
      <c r="O9" s="65">
        <f t="shared" si="2"/>
        <v>0</v>
      </c>
      <c r="P9" s="65" t="e" cm="1">
        <f t="array" ref="P9">SUM((RDP_Effectif[ETP après déduction des h de maladie])*(RDP_Effectif[Affectation]="Encadrement")*(RDP_Effectif[Prestation]=$B9)*(_xlfn.XLOOKUP(RDP_Effectif[Carrière],Table7[Carrière],Table7[Niveau qualification])="ASF et aux. de vie"))</f>
        <v>#N/A</v>
      </c>
      <c r="Q9" s="65" t="e">
        <f t="shared" si="3"/>
        <v>#N/A</v>
      </c>
      <c r="R9" s="65">
        <f t="shared" si="9"/>
        <v>0</v>
      </c>
      <c r="S9" s="65" t="e" cm="1">
        <f t="array" ref="S9">SUM((RDP_Effectif[ETP après déduction des h de maladie])*(RDP_Effectif[Affectation]="Encadrement")*(RDP_Effectif[Prestation]=$B9)*(_xlfn.XLOOKUP(RDP_Effectif[Carrière],Table7[Carrière],Table7[Niveau qualification])="Non qualifié"))</f>
        <v>#N/A</v>
      </c>
      <c r="T9" s="65" t="e">
        <f t="shared" si="7"/>
        <v>#N/A</v>
      </c>
      <c r="U9" s="431">
        <f t="shared" si="8"/>
        <v>0</v>
      </c>
    </row>
    <row r="10" spans="1:25" x14ac:dyDescent="0.3">
      <c r="A10" t="s">
        <v>458</v>
      </c>
      <c r="B10" t="s">
        <v>118</v>
      </c>
      <c r="C10" s="65">
        <f>SUMIFS('F2 - Facturation J'!$E:$E,'F2 - Facturation J'!$B:$B,$B10)/Data!$B$5*SUMIFS(Data!$AH$4:$AH$18,Data!$AB$4:$AB$18,$B10)-
SUMIFS('F2 - Facturation J'!$E:$E,'F2 - Facturation J'!$B:$B,$B10)/Data!$B$5*SUMIFS(Data!$AH$4:$AH$18,Data!$AB$4:$AB$18,$B10)*0.1*80/Data!$B$5</f>
        <v>0</v>
      </c>
      <c r="D10" s="65" cm="1">
        <f t="array" ref="D10">SUM((RDP_Effectif[ETP après déduction des h de maladie])*(RDP_Effectif[Affectation]="Encadrement")*(RDP_Effectif[Prestation]=$B10))</f>
        <v>0</v>
      </c>
      <c r="E10" s="65">
        <v>0</v>
      </c>
      <c r="F10" s="65">
        <f t="shared" si="4"/>
        <v>0</v>
      </c>
      <c r="G10" s="65" cm="1">
        <f t="array" ref="G10">IF(AND($B10="Ortho/Psycho",$C10&lt;&gt;0),SUM((RDP_Effectif[ETP après déduction des h de maladie])*(RDP_Effectif[Affectation]="Encadrement")*(_xlfn.XLOOKUP(RDP_Effectif[Carrière],Table4[Carrière],Table4[Equivalent carrière])="C7")),0)</f>
        <v>0</v>
      </c>
      <c r="H10" s="65">
        <f t="shared" ref="H10:H11" si="10">G10-F10</f>
        <v>0</v>
      </c>
      <c r="I10" s="65">
        <f t="shared" ref="I10:I11" si="11">$C10*18.4%</f>
        <v>0</v>
      </c>
      <c r="J10" s="65" t="e" cm="1">
        <f t="array" ref="J10">SUM((RDP_Effectif[ETP après déduction des h de maladie])*(RDP_Effectif[Affectation]="Encadrement")*(RDP_Effectif[Prestation]=$B10)*(_xlfn.XLOOKUP(RDP_Effectif[Carrière],Table7[Carrière],Table7[Niveau qualification])="Post-secondaire"))</f>
        <v>#N/A</v>
      </c>
      <c r="K10" s="65" t="e">
        <f t="shared" ref="K10:K11" si="12">J10-I10</f>
        <v>#N/A</v>
      </c>
      <c r="L10" s="65">
        <f t="shared" si="5"/>
        <v>0</v>
      </c>
      <c r="M10" s="65" t="e" cm="1">
        <f t="array" ref="M10">SUM((RDP_Effectif[ETP après déduction des h de maladie])*(RDP_Effectif[Affectation]="Encadrement")*(RDP_Effectif[Prestation]=$B10)*(_xlfn.XLOOKUP(RDP_Effectif[Carrière],Table7[Carrière],Table7[Niveau qualification])="Secondaire"))</f>
        <v>#N/A</v>
      </c>
      <c r="N10" s="65" t="e">
        <f t="shared" ref="N10:N11" si="13">M10-L10</f>
        <v>#N/A</v>
      </c>
      <c r="O10" s="65">
        <f t="shared" si="2"/>
        <v>0</v>
      </c>
      <c r="P10" s="65" t="e" cm="1">
        <f t="array" ref="P10">SUM((RDP_Effectif[ETP après déduction des h de maladie])*(RDP_Effectif[Affectation]="Encadrement")*(RDP_Effectif[Prestation]=$B10)*(_xlfn.XLOOKUP(RDP_Effectif[Carrière],Table7[Carrière],Table7[Niveau qualification])="ASF et aux. de vie"))</f>
        <v>#N/A</v>
      </c>
      <c r="Q10" s="65" t="e">
        <f t="shared" ref="Q10:Q11" si="14">P10-O10</f>
        <v>#N/A</v>
      </c>
      <c r="R10" s="65">
        <f t="shared" si="9"/>
        <v>0</v>
      </c>
      <c r="S10" s="65" t="e" cm="1">
        <f t="array" ref="S10">SUM((RDP_Effectif[ETP après déduction des h de maladie])*(RDP_Effectif[Affectation]="Encadrement")*(RDP_Effectif[Prestation]=$B10)*(_xlfn.XLOOKUP(RDP_Effectif[Carrière],Table7[Carrière],Table7[Niveau qualification])="Non qualifié"))</f>
        <v>#N/A</v>
      </c>
      <c r="T10" s="65" t="e">
        <f t="shared" ref="T10:T11" si="15">S10-R10</f>
        <v>#N/A</v>
      </c>
      <c r="U10" s="431">
        <f t="shared" ref="U10:U11" si="16">+C10-I10-L10-O10-R10</f>
        <v>0</v>
      </c>
    </row>
    <row r="11" spans="1:25" ht="15" thickBot="1" x14ac:dyDescent="0.35">
      <c r="A11" t="s">
        <v>459</v>
      </c>
      <c r="B11" t="s">
        <v>119</v>
      </c>
      <c r="C11" s="65">
        <f>SUMIFS('F2 - Facturation J'!$E:$E,'F2 - Facturation J'!$B:$B,$B11)/Data!$B$5*SUMIFS(Data!$AH$4:$AH$18,Data!$AB$4:$AB$18,$B11)-
SUMIFS('F2 - Facturation J'!$E:$E,'F2 - Facturation J'!$B:$B,$B11)/Data!$B$5*SUMIFS(Data!$AH$4:$AH$18,Data!$AB$4:$AB$18,$B11)*0.1*80/Data!$B$5</f>
        <v>0</v>
      </c>
      <c r="D11" s="65" cm="1">
        <f t="array" ref="D11">SUM((RDP_Effectif[ETP après déduction des h de maladie])*(RDP_Effectif[Affectation]="Encadrement")*(RDP_Effectif[Prestation]=$B11))</f>
        <v>0</v>
      </c>
      <c r="E11" s="65">
        <v>0</v>
      </c>
      <c r="F11" s="65">
        <f t="shared" si="4"/>
        <v>0</v>
      </c>
      <c r="G11" s="65" cm="1">
        <f t="array" ref="G11">IF(AND($B11="Ortho/Psycho",$C11&lt;&gt;0),SUM((RDP_Effectif[ETP après déduction des h de maladie])*(RDP_Effectif[Affectation]="Encadrement")*(_xlfn.XLOOKUP(RDP_Effectif[Carrière],Table4[Carrière],Table4[Equivalent carrière])="C7")),0)</f>
        <v>0</v>
      </c>
      <c r="H11" s="65">
        <f t="shared" si="10"/>
        <v>0</v>
      </c>
      <c r="I11" s="65">
        <f t="shared" si="11"/>
        <v>0</v>
      </c>
      <c r="J11" s="65" t="e" cm="1">
        <f t="array" ref="J11">SUM((RDP_Effectif[ETP après déduction des h de maladie])*(RDP_Effectif[Affectation]="Encadrement")*(RDP_Effectif[Prestation]=$B11)*(_xlfn.XLOOKUP(RDP_Effectif[Carrière],Table7[Carrière],Table7[Niveau qualification])="Post-secondaire"))</f>
        <v>#N/A</v>
      </c>
      <c r="K11" s="65" t="e">
        <f t="shared" si="12"/>
        <v>#N/A</v>
      </c>
      <c r="L11" s="65">
        <f t="shared" si="5"/>
        <v>0</v>
      </c>
      <c r="M11" s="65" t="e" cm="1">
        <f t="array" ref="M11">SUM((RDP_Effectif[ETP après déduction des h de maladie])*(RDP_Effectif[Affectation]="Encadrement")*(RDP_Effectif[Prestation]=$B11)*(_xlfn.XLOOKUP(RDP_Effectif[Carrière],Table7[Carrière],Table7[Niveau qualification])="Secondaire"))</f>
        <v>#N/A</v>
      </c>
      <c r="N11" s="65" t="e">
        <f t="shared" si="13"/>
        <v>#N/A</v>
      </c>
      <c r="O11" s="65">
        <f t="shared" si="2"/>
        <v>0</v>
      </c>
      <c r="P11" s="65" t="e" cm="1">
        <f t="array" ref="P11">SUM((RDP_Effectif[ETP après déduction des h de maladie])*(RDP_Effectif[Affectation]="Encadrement")*(RDP_Effectif[Prestation]=$B11)*(_xlfn.XLOOKUP(RDP_Effectif[Carrière],Table7[Carrière],Table7[Niveau qualification])="ASF et aux. de vie"))</f>
        <v>#N/A</v>
      </c>
      <c r="Q11" s="65" t="e">
        <f t="shared" si="14"/>
        <v>#N/A</v>
      </c>
      <c r="R11" s="65">
        <f t="shared" si="9"/>
        <v>0</v>
      </c>
      <c r="S11" s="65" t="e" cm="1">
        <f t="array" ref="S11">SUM((RDP_Effectif[ETP après déduction des h de maladie])*(RDP_Effectif[Affectation]="Encadrement")*(RDP_Effectif[Prestation]=$B11)*(_xlfn.XLOOKUP(RDP_Effectif[Carrière],Table7[Carrière],Table7[Niveau qualification])="Non qualifié"))</f>
        <v>#N/A</v>
      </c>
      <c r="T11" s="65" t="e">
        <f t="shared" si="15"/>
        <v>#N/A</v>
      </c>
      <c r="U11" s="431">
        <f t="shared" si="16"/>
        <v>0</v>
      </c>
    </row>
    <row r="12" spans="1:25" ht="15" thickBot="1" x14ac:dyDescent="0.35">
      <c r="A12" t="s">
        <v>46</v>
      </c>
      <c r="B12" s="96" t="s">
        <v>433</v>
      </c>
      <c r="C12" s="65">
        <f>SUM(C4:C11)</f>
        <v>0</v>
      </c>
      <c r="D12" s="65">
        <f>SUM(D4:D11)</f>
        <v>0</v>
      </c>
      <c r="E12" s="65">
        <f>D12-C12</f>
        <v>0</v>
      </c>
      <c r="F12" s="65">
        <f t="shared" ref="F12:G12" si="17">SUM(F4:F11)</f>
        <v>0</v>
      </c>
      <c r="G12" s="65">
        <f t="shared" si="17"/>
        <v>0</v>
      </c>
      <c r="H12" s="65">
        <f t="shared" si="0"/>
        <v>0</v>
      </c>
      <c r="I12" s="65">
        <f t="shared" ref="I12:J12" si="18">SUM(I4:I11)</f>
        <v>0</v>
      </c>
      <c r="J12" s="65" t="e">
        <f t="shared" si="18"/>
        <v>#N/A</v>
      </c>
      <c r="K12" s="65" t="e">
        <f t="shared" si="1"/>
        <v>#N/A</v>
      </c>
      <c r="L12" s="65">
        <f t="shared" ref="L12:M12" si="19">SUM(L4:L11)</f>
        <v>0</v>
      </c>
      <c r="M12" s="65" t="e">
        <f t="shared" si="19"/>
        <v>#N/A</v>
      </c>
      <c r="N12" s="65" t="e">
        <f t="shared" si="6"/>
        <v>#N/A</v>
      </c>
      <c r="O12" s="65">
        <f t="shared" ref="O12:P12" si="20">SUM(O4:O11)</f>
        <v>0</v>
      </c>
      <c r="P12" s="65" t="e">
        <f t="shared" si="20"/>
        <v>#N/A</v>
      </c>
      <c r="Q12" s="65" t="e">
        <f t="shared" si="3"/>
        <v>#N/A</v>
      </c>
      <c r="R12" s="65">
        <f t="shared" ref="R12:S12" si="21">SUM(R4:R11)</f>
        <v>0</v>
      </c>
      <c r="S12" s="65" t="e">
        <f t="shared" si="21"/>
        <v>#N/A</v>
      </c>
      <c r="T12" s="65" t="e">
        <f t="shared" si="7"/>
        <v>#N/A</v>
      </c>
      <c r="U12" s="431">
        <f t="shared" si="8"/>
        <v>0</v>
      </c>
      <c r="W12" s="449" t="s">
        <v>482</v>
      </c>
      <c r="X12" s="460" t="e">
        <f>IF((E12+K14+N14+Q14+T14)*-1&lt;0,0,(E12+K14+N14+Q14+T14)*-1)</f>
        <v>#N/A</v>
      </c>
      <c r="Y12" s="461"/>
    </row>
    <row r="13" spans="1:25" ht="15" thickBot="1" x14ac:dyDescent="0.35">
      <c r="W13" s="447" t="s">
        <v>69</v>
      </c>
      <c r="X13" s="457" t="e">
        <f>IF(X12&gt;0,
IF(T12&lt;0,
IF(-T12&lt;X12,-T12,X12),0),0)</f>
        <v>#N/A</v>
      </c>
      <c r="Y13" s="445" t="e">
        <f>X13*T15</f>
        <v>#N/A</v>
      </c>
    </row>
    <row r="14" spans="1:25" ht="15" thickBot="1" x14ac:dyDescent="0.35">
      <c r="B14" s="553" t="s">
        <v>471</v>
      </c>
      <c r="C14" s="554"/>
      <c r="D14" s="558" t="str">
        <f>IF('F0 - Générales'!$B$6="Journalier",IF(E12&lt;0,"Non réussi","Réussi"),"Pas concerné")</f>
        <v>Pas concerné</v>
      </c>
      <c r="E14" s="559"/>
      <c r="H14" s="450">
        <f>IF(H12&lt;0,-H12,0)</f>
        <v>0</v>
      </c>
      <c r="K14" s="450" t="e">
        <f>IF(K12&lt;0,-K12,0)</f>
        <v>#N/A</v>
      </c>
      <c r="N14" s="450" t="e">
        <f>IF(N12&lt;0,-N12,0)</f>
        <v>#N/A</v>
      </c>
      <c r="Q14" s="450" t="e">
        <f>IF(Q12&gt;0,-Q12,0)</f>
        <v>#N/A</v>
      </c>
      <c r="T14" s="450" t="e">
        <f>IF(T12&gt;0,-T12,0)</f>
        <v>#N/A</v>
      </c>
      <c r="W14" s="447" t="s">
        <v>160</v>
      </c>
      <c r="X14" s="458" t="e">
        <f>IF(X12&gt;0,
IF(Q12&lt;0,
IF(-Q12&lt;(X12-X13),-Q12,(X12-X13)),0),0)</f>
        <v>#N/A</v>
      </c>
      <c r="Y14" s="445" t="e">
        <f>+X14*Q15</f>
        <v>#N/A</v>
      </c>
    </row>
    <row r="15" spans="1:25" ht="15" thickBot="1" x14ac:dyDescent="0.35">
      <c r="B15" s="553" t="s">
        <v>472</v>
      </c>
      <c r="C15" s="554"/>
      <c r="D15" s="558" t="str">
        <f>IF('F0 - Générales'!$B$6="Journalier",IF(OR(H12&lt;0,K12&lt;0,N12&lt;0,Q12&gt;0,T12&gt;0),"Non réussi","Réussi"),"Pas concerné")</f>
        <v>Pas concerné</v>
      </c>
      <c r="E15" s="559"/>
      <c r="H15" s="451">
        <f>IF(SUMIFS(Data!$BU:$BU,Data!$BP:$BP,'F0 - Générales'!$B$7,Data!$BQ:$BQ,"C7")=0,
SUMIFS(Data!$CA:$CA,Data!$BW:$BW,"C7"),
SUMIFS(Data!$BU:$BU,Data!$BP:$BP,'F0 - Générales'!$B$7,Data!$BQ:$BQ,"C7"))</f>
        <v>154056.29620100101</v>
      </c>
      <c r="K15" s="451">
        <f>IF(SUMIFS(Data!$BU:$BU,Data!$BP:$BP,'F0 - Générales'!$B$7,Data!$BQ:$BQ,"C5")=0,
SUMIFS(Data!$CA:$CA,Data!$BW:$BW,"C5"),
SUMIFS(Data!$BU:$BU,Data!$BP:$BP,'F0 - Générales'!$B$7,Data!$BQ:$BQ,"C5"))</f>
        <v>133268.89090388734</v>
      </c>
      <c r="N15" s="451">
        <f>IF(SUMIFS(Data!$BU:$BU,Data!$BP:$BP,'F0 - Générales'!$B$7,Data!$BQ:$BQ,"C4")=0,
SUMIFS(Data!$CA:$CA,Data!$BW:$BW,"C4"),
SUMIFS(Data!$BU:$BU,Data!$BP:$BP,'F0 - Générales'!$B$7,Data!$BQ:$BQ,"C4"))</f>
        <v>102930.9301827279</v>
      </c>
      <c r="Q15" s="451">
        <f>IF(SUMIFS(Data!$BU:$BU,Data!$BP:$BP,'F0 - Générales'!$B$7,Data!$BQ:$BQ,"C2 qualifié")=0,
SUMIFS(Data!$CA:$CA,Data!$BW:$BW,"C2 qualifié"),
SUMIFS(Data!$BU:$BU,Data!$BP:$BP,'F0 - Générales'!$B$7,Data!$BQ:$BQ,"C2 qualifié"))</f>
        <v>63985.167213624016</v>
      </c>
      <c r="T15" s="451">
        <f>IF(SUMIFS(Data!$BU:$BU,Data!$BP:$BP,'F0 - Générales'!$B$7,Data!$BQ:$BQ,"C1")=0,
SUMIFS(Data!$CA:$CA,Data!$BW:$BW,"C1"),
SUMIFS(Data!$BU:$BU,Data!$BP:$BP,'F0 - Générales'!$B$7,Data!$BQ:$BQ,"C1"))</f>
        <v>46610.597974143209</v>
      </c>
      <c r="W15" s="447" t="s">
        <v>70</v>
      </c>
      <c r="X15" s="458" t="e">
        <f>IF(X12&gt;0,
IF(N12&gt;0,
IF(N12&lt;(X12-X13-X14),N12,(X12-X13-X14)),0),0)</f>
        <v>#N/A</v>
      </c>
      <c r="Y15" s="445" t="e">
        <f>+X15*N15</f>
        <v>#N/A</v>
      </c>
    </row>
    <row r="16" spans="1:25" ht="15" thickBot="1" x14ac:dyDescent="0.35">
      <c r="B16" s="553" t="s">
        <v>483</v>
      </c>
      <c r="C16" s="554"/>
      <c r="D16" s="555" t="e">
        <f>SUM($H$16:$T$16)+SUM($Y$13:$Y$16)</f>
        <v>#N/A</v>
      </c>
      <c r="E16" s="556"/>
      <c r="H16" s="452">
        <f>H14*H15</f>
        <v>0</v>
      </c>
      <c r="I16" s="136"/>
      <c r="J16" s="136"/>
      <c r="K16" s="452" t="e">
        <f t="shared" ref="K16" si="22">K14*K15</f>
        <v>#N/A</v>
      </c>
      <c r="N16" s="452" t="e">
        <f>N14*N15</f>
        <v>#N/A</v>
      </c>
      <c r="Q16" s="452" t="e">
        <f t="shared" ref="Q16" si="23">Q14*Q15</f>
        <v>#N/A</v>
      </c>
      <c r="T16" s="452" t="e">
        <f t="shared" ref="T16" si="24">T14*T15</f>
        <v>#N/A</v>
      </c>
      <c r="W16" s="448" t="s">
        <v>71</v>
      </c>
      <c r="X16" s="459" t="e">
        <f>IF(X12&gt;0,
IF(K12&gt;0,
IF(K12&lt;(X12-X13-X14-X15),K12,(X12-X13-X14-X15)),0),0)</f>
        <v>#N/A</v>
      </c>
      <c r="Y16" s="446" t="e">
        <f>+X16*K15</f>
        <v>#N/A</v>
      </c>
    </row>
    <row r="17" spans="1:18" x14ac:dyDescent="0.3">
      <c r="N17" s="136"/>
    </row>
    <row r="18" spans="1:18" ht="15.6" x14ac:dyDescent="0.3">
      <c r="A18" s="557" t="s">
        <v>409</v>
      </c>
      <c r="B18" s="557"/>
    </row>
    <row r="19" spans="1:18" ht="43.2" x14ac:dyDescent="0.3">
      <c r="A19" s="432" t="s">
        <v>425</v>
      </c>
      <c r="B19" s="432" t="s">
        <v>432</v>
      </c>
      <c r="C19" s="429" t="s">
        <v>469</v>
      </c>
      <c r="D19" s="429" t="s">
        <v>470</v>
      </c>
      <c r="E19" s="429" t="s">
        <v>468</v>
      </c>
      <c r="F19" s="429" t="s">
        <v>436</v>
      </c>
      <c r="G19" s="430" t="s">
        <v>469</v>
      </c>
      <c r="H19" s="430" t="s">
        <v>470</v>
      </c>
      <c r="I19" s="430" t="s">
        <v>468</v>
      </c>
      <c r="J19" s="430" t="s">
        <v>436</v>
      </c>
    </row>
    <row r="20" spans="1:18" x14ac:dyDescent="0.3">
      <c r="A20" t="s">
        <v>460</v>
      </c>
      <c r="B20" s="441">
        <v>7</v>
      </c>
      <c r="C20" s="65" cm="1">
        <f t="array" ref="C20">SUM((RDP_Effectif[ETP moyen annuel])*(RDP_Effectif[Affectation]="Encadrement")*(RDP_Effectif[Prestation]=$B20))*80%</f>
        <v>0</v>
      </c>
      <c r="D20" s="65" cm="1">
        <f t="array" ref="D20">IF('F2 - Facturation H'!$Q$1="","",
IF('F2 - Facturation H'!$Q$1&lt;SUM((Table6[Efficience min])*(Table6[Activité]=$B20)),$C20*'F2 - Facturation H'!$Q$1/SUM((Table6[Efficience min])*(Table6[Activité]=$B20)),
IF('F2 - Facturation H'!$Q$1&gt;SUM((Table6[Efficience max])*(Table6[Activité]=$B20)),$C20*'F2 - Facturation H'!$Q$1/SUM((Table6[Efficience max])*(Table6[Activité]=$B20)),$C20)))</f>
        <v>0</v>
      </c>
      <c r="E20" s="65" t="e" cm="1">
        <f t="array" ref="E20">SUM((RDP_Effectif[ETP moyen annuel])*(RDP_Effectif[Affectation]="Encadrement")*(RDP_Effectif[Prestation]=$B20)*(_xlfn.XLOOKUP(RDP_Effectif[Carrière],Table7[Carrière],Table7[Niveau qualification])&lt;&gt;"Non qualifié"))</f>
        <v>#N/A</v>
      </c>
      <c r="F20" s="65" t="e">
        <f>IF(D20=0,C20-E20,D20-E20)</f>
        <v>#N/A</v>
      </c>
      <c r="G20" s="65">
        <f>$C20*20%</f>
        <v>0</v>
      </c>
      <c r="H20" s="65" cm="1">
        <f t="array" ref="H20">IF('F2 - Facturation H'!$Q$1="","",
IF('F2 - Facturation H'!$Q$1&lt;SUM((Table6[Efficience min])*(Table6[Activité]=$B20)),$G20*'F2 - Facturation H'!$Q$1/SUM((Table6[Efficience min])*(Table6[Activité]=$B20)),
IF('F2 - Facturation H'!$Q$1&gt;SUM((Table6[Efficience max])*(Table6[Activité]=$B20)),$G20*'F2 - Facturation H'!$Q$1/SUM((Table6[Efficience max])*(Table6[Activité]=$B20)),$G20)))</f>
        <v>0</v>
      </c>
      <c r="I20" s="65" t="e" cm="1">
        <f t="array" ref="I20">SUM((RDP_Effectif[ETP moyen annuel])*(RDP_Effectif[Affectation]="Encadrement")*(RDP_Effectif[Prestation]=$B20)*(_xlfn.XLOOKUP(RDP_Effectif[Carrière],Table7[Carrière],Table7[Niveau qualification])="ASF et aux. de vie"))</f>
        <v>#N/A</v>
      </c>
      <c r="J20" s="65" t="e">
        <f>IF(H20=0,G20-I20,H20-I20)</f>
        <v>#N/A</v>
      </c>
      <c r="N20" s="96" t="s">
        <v>256</v>
      </c>
      <c r="R20" t="str">
        <f>"Pour le gestionnaire "&amp;'F0 - Générales'!$B$4</f>
        <v xml:space="preserve">Pour le gestionnaire </v>
      </c>
    </row>
    <row r="21" spans="1:18" x14ac:dyDescent="0.3">
      <c r="A21" t="s">
        <v>461</v>
      </c>
      <c r="B21" s="441" t="s">
        <v>9</v>
      </c>
      <c r="C21" s="65" cm="1">
        <f t="array" ref="C21">SUM((RDP_Effectif[ETP moyen annuel])*(RDP_Effectif[Affectation]="Encadrement")*(RDP_Effectif[Prestation]=$B21))*60%</f>
        <v>0</v>
      </c>
      <c r="D21" s="65" cm="1">
        <f t="array" ref="D21">IF('F2 - Facturation H'!$Q$1="","",
IF('F2 - Facturation H'!$Q$1&lt;SUM((Table6[Efficience min])*(Table6[Activité]=$B21)),$C21*'F2 - Facturation H'!$Q$1/SUM((Table6[Efficience min])*(Table6[Activité]=$B21)),
IF('F2 - Facturation H'!$Q$1&gt;SUM((Table6[Efficience max])*(Table6[Activité]=$B21)),$C21*'F2 - Facturation H'!$Q$1/SUM((Table6[Efficience max])*(Table6[Activité]=$B21)),$C21)))</f>
        <v>0</v>
      </c>
      <c r="E21" s="65" t="e" cm="1">
        <f t="array" ref="E21">SUM((RDP_Effectif[[ETP moyen annuel]:[ETP moyen annuel]])*(RDP_Effectif[[Affectation]:[Affectation]]="Encadrement")*(RDP_Effectif[[Prestation]:[Prestation]]=$B21)*(_xlfn.XLOOKUP(RDP_Effectif[[Carrière]:[Carrière]],Table4[[Carrière]:[Carrière]],Table4[[Equivalent carrière]:[Equivalent carrière]])="C6"))+
SUM((RDP_Effectif[[ETP moyen annuel]:[ETP moyen annuel]])*(RDP_Effectif[[Affectation]:[Affectation]]="Encadrement")*(RDP_Effectif[[Prestation]:[Prestation]]=$B21)*(_xlfn.XLOOKUP(RDP_Effectif[[Carrière]:[Carrière]],Table4[[Carrière]:[Carrière]],Table4[[Equivalent carrière]:[Equivalent carrière]])="C7"))</f>
        <v>#N/A</v>
      </c>
      <c r="F21" s="65" t="e">
        <f t="shared" ref="F21:F25" si="25">IF(D21=0,C21-E21,D21-E21)</f>
        <v>#N/A</v>
      </c>
      <c r="N21" s="96" t="s">
        <v>255</v>
      </c>
    </row>
    <row r="22" spans="1:18" x14ac:dyDescent="0.3">
      <c r="A22" t="s">
        <v>462</v>
      </c>
      <c r="B22" s="441" t="s">
        <v>11</v>
      </c>
      <c r="C22" s="65" cm="1">
        <f t="array" ref="C22">SUM((RDP_Effectif[ETP moyen annuel])*(RDP_Effectif[Affectation]="Encadrement")*(RDP_Effectif[Prestation]=$B22))*60%</f>
        <v>0</v>
      </c>
      <c r="D22" s="65" cm="1">
        <f t="array" ref="D22">IF('F2 - Facturation H'!$Q$1="","",
IF('F2 - Facturation H'!$Q$1&lt;SUM((Table6[Efficience min])*(Table6[Activité]=$B22)),$C22*'F2 - Facturation H'!$Q$1/SUM((Table6[Efficience min])*(Table6[Activité]=$B22)),
IF('F2 - Facturation H'!$Q$1&gt;SUM((Table6[Efficience max])*(Table6[Activité]=$B22)),$C22*'F2 - Facturation H'!$Q$1/SUM((Table6[Efficience max])*(Table6[Activité]=$B22)),$C22)))</f>
        <v>0</v>
      </c>
      <c r="E22" s="65" t="e" cm="1">
        <f t="array" ref="E22">SUM((RDP_Effectif[[ETP moyen annuel]:[ETP moyen annuel]])*(RDP_Effectif[[Affectation]:[Affectation]]="Encadrement")*(RDP_Effectif[[Prestation]:[Prestation]]=$B22)*(_xlfn.XLOOKUP(RDP_Effectif[[Carrière]:[Carrière]],Table4[[Carrière]:[Carrière]],Table4[[Equivalent carrière]:[Equivalent carrière]])="C6"))+
SUM((RDP_Effectif[[ETP moyen annuel]:[ETP moyen annuel]])*(RDP_Effectif[[Affectation]:[Affectation]]="Encadrement")*(RDP_Effectif[[Prestation]:[Prestation]]=$B22)*(_xlfn.XLOOKUP(RDP_Effectif[[Carrière]:[Carrière]],Table4[[Carrière]:[Carrière]],Table4[[Equivalent carrière]:[Equivalent carrière]])="C7"))</f>
        <v>#N/A</v>
      </c>
      <c r="F22" s="65" t="e">
        <f t="shared" si="25"/>
        <v>#N/A</v>
      </c>
      <c r="R22" t="s">
        <v>498</v>
      </c>
    </row>
    <row r="23" spans="1:18" x14ac:dyDescent="0.3">
      <c r="A23" t="s">
        <v>463</v>
      </c>
      <c r="B23" s="441" t="s">
        <v>13</v>
      </c>
      <c r="C23" s="65" cm="1">
        <f t="array" ref="C23">SUM((RDP_Effectif[ETP moyen annuel])*(RDP_Effectif[Affectation]="Encadrement")*(RDP_Effectif[Prestation]=$B23))*70%</f>
        <v>0</v>
      </c>
      <c r="D23" s="65" cm="1">
        <f t="array" ref="D23">IF('F2 - Facturation H'!$Q$1="","",
IF('F2 - Facturation H'!$Q$1&lt;SUM((Table6[Efficience min])*(Table6[Activité]=$B23)),$C23*'F2 - Facturation H'!$Q$1/SUM((Table6[Efficience min])*(Table6[Activité]=$B23)),
IF('F2 - Facturation H'!$Q$1&gt;SUM((Table6[Efficience max])*(Table6[Activité]=$B23)),$C23*'F2 - Facturation H'!$Q$1/SUM((Table6[Efficience max])*(Table6[Activité]=$B23)),$C23)))</f>
        <v>0</v>
      </c>
      <c r="E23" s="65" t="e" cm="1">
        <f t="array" ref="E23">SUM((RDP_Effectif[[ETP moyen annuel]:[ETP moyen annuel]])*(RDP_Effectif[[Affectation]:[Affectation]]="Encadrement")*(RDP_Effectif[[Prestation]:[Prestation]]=$B23)*(_xlfn.XLOOKUP(RDP_Effectif[[Carrière]:[Carrière]],Table4[[Carrière]:[Carrière]],Table4[[Equivalent carrière]:[Equivalent carrière]])="C6"))+
SUM((RDP_Effectif[[ETP moyen annuel]:[ETP moyen annuel]])*(RDP_Effectif[[Affectation]:[Affectation]]="Encadrement")*(RDP_Effectif[[Prestation]:[Prestation]]=$B23)*(_xlfn.XLOOKUP(RDP_Effectif[[Carrière]:[Carrière]],Table4[[Carrière]:[Carrière]],Table4[[Equivalent carrière]:[Equivalent carrière]])="C7"))</f>
        <v>#N/A</v>
      </c>
      <c r="F23" s="65" t="e">
        <f t="shared" si="25"/>
        <v>#N/A</v>
      </c>
      <c r="N23" s="96" t="s">
        <v>313</v>
      </c>
      <c r="R23" t="s">
        <v>588</v>
      </c>
    </row>
    <row r="24" spans="1:18" x14ac:dyDescent="0.3">
      <c r="A24" t="s">
        <v>464</v>
      </c>
      <c r="B24" s="441" t="s">
        <v>15</v>
      </c>
      <c r="C24" s="65" cm="1">
        <f t="array" ref="C24">SUM((RDP_Effectif[ETP moyen annuel])*(RDP_Effectif[Affectation]="Encadrement")*(RDP_Effectif[Prestation]=$B24))</f>
        <v>0</v>
      </c>
      <c r="D24" s="65" cm="1">
        <f t="array" ref="D24">IF('F2 - Facturation H'!$Q$1="","",
IF('F2 - Facturation H'!$Q$1&lt;SUM((Table6[Efficience min])*(Table6[Activité]=$B24)),$C24*'F2 - Facturation H'!$Q$1/SUM((Table6[Efficience min])*(Table6[Activité]=$B24)),
IF('F2 - Facturation H'!$Q$1&gt;SUM((Table6[Efficience max])*(Table6[Activité]=$B24)),$C24*'F2 - Facturation H'!$Q$1/SUM((Table6[Efficience max])*(Table6[Activité]=$B24)),$C24)))</f>
        <v>0</v>
      </c>
      <c r="E24" s="65" t="e" cm="1">
        <f t="array" ref="E24">SUM((RDP_Effectif[[ETP moyen annuel]:[ETP moyen annuel]])*(RDP_Effectif[[Affectation]:[Affectation]]="Encadrement")*(RDP_Effectif[[Prestation]:[Prestation]]=$B24)*(_xlfn.XLOOKUP(RDP_Effectif[[Carrière]:[Carrière]],Table4[[Carrière]:[Carrière]],Table4[[Equivalent carrière]:[Equivalent carrière]])="C7"))</f>
        <v>#N/A</v>
      </c>
      <c r="F24" s="65" t="e">
        <f t="shared" si="25"/>
        <v>#N/A</v>
      </c>
      <c r="N24" s="96" t="s">
        <v>314</v>
      </c>
    </row>
    <row r="25" spans="1:18" x14ac:dyDescent="0.3">
      <c r="A25" t="s">
        <v>465</v>
      </c>
      <c r="B25" s="441">
        <v>11</v>
      </c>
      <c r="C25" s="65" cm="1">
        <f t="array" ref="C25">SUM((RDP_Effectif[ETP moyen annuel])*(RDP_Effectif[Affectation]="Encadrement")*(RDP_Effectif[Prestation]=$B25))</f>
        <v>0</v>
      </c>
      <c r="D25" s="65" cm="1">
        <f t="array" ref="D25">IF('F2 - Facturation H'!$Q$1="","",
IF('F2 - Facturation H'!$Q$1&lt;SUM((Table6[Efficience min])*(Table6[Activité]=$B25)),$C25*'F2 - Facturation H'!$Q$1/SUM((Table6[Efficience min])*(Table6[Activité]=$B25)),
IF('F2 - Facturation H'!$Q$1&gt;SUM((Table6[Efficience max])*(Table6[Activité]=$B25)),$C25*'F2 - Facturation H'!$Q$1/SUM((Table6[Efficience max])*(Table6[Activité]=$B25)),$C25)))</f>
        <v>0</v>
      </c>
      <c r="E25" s="65" t="e" cm="1">
        <f t="array" ref="E25">SUM((RDP_Effectif[[ETP moyen annuel]:[ETP moyen annuel]])*(RDP_Effectif[[Affectation]:[Affectation]]="Encadrement")*(RDP_Effectif[[Prestation]:[Prestation]]=$B25)*(_xlfn.XLOOKUP(RDP_Effectif[[Carrière]:[Carrière]],Table4[[Carrière]:[Carrière]],Table4[[Equivalent carrière]:[Equivalent carrière]])="C6"))+
SUM((RDP_Effectif[[ETP moyen annuel]:[ETP moyen annuel]])*(RDP_Effectif[[Affectation]:[Affectation]]="Encadrement")*(RDP_Effectif[[Prestation]:[Prestation]]=$B25)*(_xlfn.XLOOKUP(RDP_Effectif[[Carrière]:[Carrière]],Table4[[Carrière]:[Carrière]],Table4[[Equivalent carrière]:[Equivalent carrière]])="C7"))</f>
        <v>#N/A</v>
      </c>
      <c r="F25" s="65" t="e">
        <f t="shared" si="25"/>
        <v>#N/A</v>
      </c>
    </row>
    <row r="26" spans="1:18" ht="15" thickBot="1" x14ac:dyDescent="0.35">
      <c r="H26" t="s">
        <v>484</v>
      </c>
      <c r="I26" s="130" t="e">
        <f>IF(AND(F20&gt;0,J20&gt;0,F20&gt;J20),J20,
IF(AND(F20&gt;0,J20&gt;0,F20&lt;=J20),F20,0))</f>
        <v>#N/A</v>
      </c>
      <c r="J26" s="65" t="e">
        <f>IF(H20=0,G20-I20-I26,H20-I20-I26)</f>
        <v>#N/A</v>
      </c>
    </row>
    <row r="27" spans="1:18" ht="15" thickBot="1" x14ac:dyDescent="0.35">
      <c r="B27" s="553" t="s">
        <v>472</v>
      </c>
      <c r="C27" s="554"/>
      <c r="D27" s="558" t="str">
        <f>IF('F0 - Générales'!$B$6="Horaire",IF(OR(F20&gt;0,J20&lt;0,F21&gt;0,F22&gt;0,F23&gt;0,F24&gt;0,F25&gt;0),"Non réussi","Réussite"),"Pas concerné")</f>
        <v>Pas concerné</v>
      </c>
      <c r="E27" s="559"/>
    </row>
    <row r="28" spans="1:18" ht="15" thickBot="1" x14ac:dyDescent="0.35">
      <c r="B28" s="553" t="s">
        <v>483</v>
      </c>
      <c r="C28" s="554"/>
      <c r="D28" s="555" t="e" cm="1">
        <f t="array" ref="D28">IFERROR(IF(AND(F20&gt;0,J20&lt;0),
IF(SUMIFS(Data!$BU:$BU,Data!$BP:$BP,'F0 - Générales'!$B$7,Data!$BQ:$BQ,"C4")=0,
SUMIFS(Data!$CA:$CA,Data!$BW:$BW,"C4"),
SUMIFS(Data!$BU:$BU,Data!$BP:$BP,'F0 - Générales'!$B$7,Data!$BQ:$BQ,"C4"))*F20-SUM((RDP_Effectif[Coût salaire annuel])*(RDP_Effectif[Affectation]="Encadrement")*(RDP_Effectif[Prestation]=$B20)*(_xlfn.XLOOKUP(RDP_Effectif[Carrière],Table7[Carrière],Table7[Niveau qualification])="Non qualifié"))/SUM((RDP_Effectif[ETP moyen annuel])*(RDP_Effectif[Affectation]="Encadrement")*(RDP_Effectif[Prestation]=$B20)*(_xlfn.XLOOKUP(RDP_Effectif[Carrière],Table7[Carrière],Table7[Niveau qualification])="Non qualifié"))*F20,
IF(AND(F20&gt;0,J20&gt;0,F20&gt;J20),
J20*IF(SUMIFS(Data!$BU:$BU,Data!$BP:$BP,'F0 - Générales'!$B$7,Data!$BQ:$BQ,"C2 qualifié")=0,
SUMIFS(Data!$CA:$CA,Data!$BW:$BW,"C2 qualifié"),
SUMIFS(Data!$BU:$BU,Data!$BP:$BP,'F0 - Générales'!$B$7,Data!$BQ:$BQ,"C2 qualifié"))+
(F20-J20)*IF(SUMIFS(Data!$BU:$BU,Data!$BP:$BP,'F0 - Générales'!$B$7,Data!$BQ:$BQ,"C4")=0,
SUMIFS(Data!$CA:$CA,Data!$BW:$BW,"C4"),
SUMIFS(Data!$BU:$BU,Data!$BP:$BP,'F0 - Générales'!$B$7,Data!$BQ:$BQ,"C4")),
IF(AND(F20&gt;0,J20&gt;0,F20&lt;=J20),F20*IF(SUMIFS(Data!$BU:$BU,Data!$BP:$BP,'F0 - Générales'!$B$7,Data!$BQ:$BQ,"C2 qualifié")=0,
SUMIFS(Data!$CA:$CA,Data!$BW:$BW,"C2 qualifié"),
SUMIFS(Data!$BU:$BU,Data!$BP:$BP,'F0 - Générales'!$B$7,Data!$BQ:$BQ,"C2 qualifié")),0))),0)
+
IFERROR(IF(AND(F20&lt;0,F20&lt;J20),J20*
(SUM((RDP_Effectif[Coût salaire annuel])*(RDP_Effectif[Affectation]="Encadrement")*(RDP_Effectif[Prestation]=$B20)*(_xlfn.XLOOKUP(RDP_Effectif[Carrière],Table7[Carrière],Table7[Niveau qualification])="ASF et aux. de vie"))/SUM((RDP_Effectif[ETP moyen annuel])*(RDP_Effectif[Affectation]="Encadrement")*(RDP_Effectif[Prestation]=$B20)*(_xlfn.XLOOKUP(RDP_Effectif[Carrière],Table7[Carrière],Table7[Niveau qualification])="ASF et aux. de vie"))-IF(SUMIFS(Data!$BU:$BU,Data!$BP:$BP,'F0 - Générales'!$B$7,Data!$BQ:$BQ,"C1")=0,
SUMIFS(Data!$CA:$CA,Data!$BW:$BW,"C1"),
SUMIFS(Data!$BU:$BU,Data!$BP:$BP,'F0 - Générales'!$B$7,Data!$BQ:$BQ,"C1"))),
IF(AND(F20&lt;0,F20&gt;J20),F20*
(SUM((RDP_Effectif[Coût salaire annuel])*(RDP_Effectif[Affectation]="Encadrement")*(RDP_Effectif[Prestation]=$B20)*(_xlfn.XLOOKUP(RDP_Effectif[Carrière],Table7[Carrière],Table7[Niveau qualification])="ASF et aux. de vie"))/SUM((RDP_Effectif[ETP moyen annuel])*(RDP_Effectif[Affectation]="Encadrement")*(RDP_Effectif[Prestation]=$B20)*(_xlfn.XLOOKUP(RDP_Effectif[Carrière],Table7[Carrière],Table7[Niveau qualification])="ASF et aux. de vie"))-IF(SUMIFS(Data!$BU:$BU,Data!$BP:$BP,'F0 - Générales'!$B$7,Data!$BQ:$BQ,"C1")=0,
SUMIFS(Data!$CA:$CA,Data!$BW:$BW,"C1"),
SUMIFS(Data!$BU:$BU,Data!$BP:$BP,'F0 - Générales'!$B$7,Data!$BQ:$BQ,"C1")))+(F20-J20)*(IF(SUMIFS(Data!$BU:$BU,Data!$BP:$BP,'F0 - Générales'!$B$7,Data!$BQ:$BQ,"C4")=0,
SUMIFS(Data!$CA:$CA,Data!$BW:$BW,"C4"),
SUMIFS(Data!$BU:$BU,Data!$BP:$BP,'F0 - Générales'!$B$7,Data!$BQ:$BQ,"C4"))-(SUM((RDP_Effectif[Coût salaire annuel])*(RDP_Effectif[Affectation]="Encadrement")*(RDP_Effectif[Prestation]=$B20)*(_xlfn.XLOOKUP(RDP_Effectif[Carrière],Table7[Carrière],Table7[Niveau qualification])="ASF et aux. de vie"))/SUM((RDP_Effectif[ETP moyen annuel])*(RDP_Effectif[Affectation]="Encadrement")*(RDP_Effectif[Prestation]=$B20)*(_xlfn.XLOOKUP(RDP_Effectif[Carrière],Table7[Carrière],Table7[Niveau qualification])="ASF et aux. de vie")))),
-J26*IF(SUMIFS(Data!$BU:$BU,Data!$BP:$BP,'F0 - Générales'!$B$7,Data!$BQ:$BQ,"C4")=0,
SUMIFS(Data!$CA:$CA,Data!$BW:$BW,"C4"),
SUMIFS(Data!$BU:$BU,Data!$BP:$BP,'F0 - Générales'!$B$7,Data!$BQ:$BQ,"C4"))-
-J26*SUM((RDP_Effectif[Coût salaire annuel])*(RDP_Effectif[Affectation]="Encadrement")*(RDP_Effectif[Prestation]=$B20)*(_xlfn.XLOOKUP(RDP_Effectif[Carrière],Table7[Carrière],Table7[Niveau qualification])="ASF et aux. de vie"))/SUM((RDP_Effectif[ETP moyen annuel])*(RDP_Effectif[Affectation]="Encadrement")*(RDP_Effectif[Prestation]=$B20)*(_xlfn.XLOOKUP(RDP_Effectif[Carrière],Table7[Carrière],Table7[Niveau qualification])="ASF et aux. de vie")))),0)
+
IF($F21&gt;0,
(IF(SUMIFS(Data!$BU:$BU,Data!$BP:$BP,'F0 - Générales'!$B$7,Data!$BQ:$BQ,"C6")=0,
SUMIFS(Data!$CA:$CA,Data!$BW:$BW,"C6"),
SUMIFS(Data!$BU:$BU,Data!$BP:$BP,'F0 - Générales'!$B$7,Data!$BQ:$BQ,"C6"))-
SUM((RDP_Effectif[Coût salaire annuel])*(RDP_Effectif[Affectation]="Encadrement")*(RDP_Effectif[Prestation]=$B21)*(_xlfn.XLOOKUP(RDP_Effectif[Carrière],Table4[Carrière],Table4[Equivalent carrière])&lt;&gt;"C7")*(_xlfn.XLOOKUP(RDP_Effectif[Carrière],Table4[Carrière],Table4[Equivalent carrière])&lt;&gt;"C6"))/SUM((RDP_Effectif[ETP moyen annuel])*(RDP_Effectif[Affectation]="Encadrement")*(RDP_Effectif[Prestation]=$B21)*(_xlfn.XLOOKUP(RDP_Effectif[Carrière],Table4[Carrière],Table4[Equivalent carrière])&lt;&gt;"C7")*(_xlfn.XLOOKUP(RDP_Effectif[Carrière],Table4[Carrière],Table4[Equivalent carrière])&lt;&gt;"C6")))*$F21,0)+
IF($F22&gt;0,
(IF(SUMIFS(Data!$BU:$BU,Data!$BP:$BP,'F0 - Générales'!$B$7,Data!$BQ:$BQ,"C6")=0,
SUMIFS(Data!$CA:$CA,Data!$BW:$BW,"C6"),
SUMIFS(Data!$BU:$BU,Data!$BP:$BP,'F0 - Générales'!$B$7,Data!$BQ:$BQ,"C6"))-
SUM((RDP_Effectif[Coût salaire annuel])*(RDP_Effectif[Affectation]="Encadrement")*(RDP_Effectif[Prestation]=$B22)*(_xlfn.XLOOKUP(RDP_Effectif[Carrière],Table4[Carrière],Table4[Equivalent carrière])&lt;&gt;"C7")*(_xlfn.XLOOKUP(RDP_Effectif[Carrière],Table4[Carrière],Table4[Equivalent carrière])&lt;&gt;"C6"))/SUM((RDP_Effectif[ETP moyen annuel])*(RDP_Effectif[Affectation]="Encadrement")*(RDP_Effectif[Prestation]=$B22)*(_xlfn.XLOOKUP(RDP_Effectif[Carrière],Table4[Carrière],Table4[Equivalent carrière])&lt;&gt;"C7")*(_xlfn.XLOOKUP(RDP_Effectif[Carrière],Table4[Carrière],Table4[Equivalent carrière])&lt;&gt;"C6")))*$F22,0)+
IF($F23&gt;0,
(IF(SUMIFS(Data!$BU:$BU,Data!$BP:$BP,'F0 - Générales'!$B$7,Data!$BQ:$BQ,"C6")=0,
SUMIFS(Data!$CA:$CA,Data!$BW:$BW,"C6"),
SUMIFS(Data!$BU:$BU,Data!$BP:$BP,'F0 - Générales'!$B$7,Data!$BQ:$BQ,"C6"))-
SUM((RDP_Effectif[Coût salaire annuel])*(RDP_Effectif[Affectation]="Encadrement")*(RDP_Effectif[Prestation]=$B23)*(_xlfn.XLOOKUP(RDP_Effectif[Carrière],Table4[Carrière],Table4[Equivalent carrière])&lt;&gt;"C7")*(_xlfn.XLOOKUP(RDP_Effectif[Carrière],Table4[Carrière],Table4[Equivalent carrière])&lt;&gt;"C6"))/SUM((RDP_Effectif[ETP moyen annuel])*(RDP_Effectif[Affectation]="Encadrement")*(RDP_Effectif[Prestation]=$B23)*(_xlfn.XLOOKUP(RDP_Effectif[Carrière],Table4[Carrière],Table4[Equivalent carrière])&lt;&gt;"C7")*(_xlfn.XLOOKUP(RDP_Effectif[Carrière],Table4[Carrière],Table4[Equivalent carrière])&lt;&gt;"C6")))*$F23,0)+
IF($F24&gt;0,
IFERROR((IF(SUMIFS(Data!$BU:$BU,Data!$BP:$BP,'F0 - Générales'!$B$7,Data!$BQ:$BQ,"C7")=0,
SUMIFS(Data!$CA:$CA,Data!$BW:$BW,"C7"),
SUMIFS(Data!$BU:$BU,Data!$BP:$BP,'F0 - Générales'!$B$7,Data!$BQ:$BQ,"C7"))-
SUM((RDP_Effectif[Coût salaire annuel])*(RDP_Effectif[Affectation]="Encadrement")*(RDP_Effectif[Prestation]=$B24)*(_xlfn.XLOOKUP(RDP_Effectif[Carrière],Table4[Carrière],Table4[Equivalent carrière])&lt;&gt;"C7"))/SUM((RDP_Effectif[ETP moyen annuel])*(RDP_Effectif[Affectation]="Encadrement")*(RDP_Effectif[Prestation]=$B24)*(_xlfn.XLOOKUP(RDP_Effectif[Carrière],Table4[Carrière],Table4[Equivalent carrière])&lt;&gt;"C7")))*$F24,
IF(SUMIFS(Data!$BU:$BU,Data!$BP:$BP,'F0 - Générales'!$B$7,Data!$BQ:$BQ,"C7")=0,
SUMIFS(Data!$CA:$CA,Data!$BW:$BW,"C7"),
SUMIFS(Data!$BU:$BU,Data!$BP:$BP,'F0 - Générales'!$B$7,Data!$BQ:$BQ,"C7"))*$F24),0)+
IF($F25&gt;0,
(IF(SUMIFS(Data!$BU:$BU,Data!$BP:$BP,'F0 - Générales'!$B$7,Data!$BQ:$BQ,"C6")=0,
SUMIFS(Data!$CA:$CA,Data!$BW:$BW,"C6"),
SUMIFS(Data!$BU:$BU,Data!$BP:$BP,'F0 - Générales'!$B$7,Data!$BQ:$BQ,"C6"))-
SUM((RDP_Effectif[Coût salaire annuel])*(RDP_Effectif[Affectation]="Encadrement")*(RDP_Effectif[Prestation]=$B25)*(_xlfn.XLOOKUP(RDP_Effectif[Carrière],Table4[Carrière],Table4[Equivalent carrière])&lt;&gt;"C7")*(_xlfn.XLOOKUP(RDP_Effectif[Carrière],Table4[Carrière],Table4[Equivalent carrière])&lt;&gt;"C6"))/SUM((RDP_Effectif[ETP moyen annuel])*(RDP_Effectif[Affectation]="Encadrement")*(RDP_Effectif[Prestation]=$B25)*(_xlfn.XLOOKUP(RDP_Effectif[Carrière],Table4[Carrière],Table4[Equivalent carrière])&lt;&gt;"C7")*(_xlfn.XLOOKUP(RDP_Effectif[Carrière],Table4[Carrière],Table4[Equivalent carrière])&lt;&gt;"C6")))*$F25,0)</f>
        <v>#N/A</v>
      </c>
      <c r="E28" s="556"/>
      <c r="G28" s="136"/>
      <c r="J28" s="21"/>
    </row>
    <row r="29" spans="1:18" x14ac:dyDescent="0.3">
      <c r="H29" s="136"/>
    </row>
    <row r="30" spans="1:18" x14ac:dyDescent="0.3">
      <c r="A30" s="67" t="s">
        <v>295</v>
      </c>
      <c r="F30" s="136"/>
    </row>
    <row r="31" spans="1:18" x14ac:dyDescent="0.3">
      <c r="A31" t="s">
        <v>513</v>
      </c>
    </row>
    <row r="32" spans="1:18" x14ac:dyDescent="0.3">
      <c r="A32" t="s">
        <v>514</v>
      </c>
    </row>
    <row r="33" spans="1:1" x14ac:dyDescent="0.3">
      <c r="A33" t="s">
        <v>515</v>
      </c>
    </row>
    <row r="34" spans="1:1" x14ac:dyDescent="0.3">
      <c r="A34" t="s">
        <v>516</v>
      </c>
    </row>
    <row r="36" spans="1:1" x14ac:dyDescent="0.3">
      <c r="A36" t="s">
        <v>517</v>
      </c>
    </row>
    <row r="37" spans="1:1" x14ac:dyDescent="0.3">
      <c r="A37" t="s">
        <v>518</v>
      </c>
    </row>
    <row r="38" spans="1:1" x14ac:dyDescent="0.3">
      <c r="A38" t="s">
        <v>519</v>
      </c>
    </row>
    <row r="39" spans="1:1" x14ac:dyDescent="0.3">
      <c r="A39" t="s">
        <v>520</v>
      </c>
    </row>
    <row r="41" spans="1:1" x14ac:dyDescent="0.3">
      <c r="A41" t="s">
        <v>521</v>
      </c>
    </row>
    <row r="42" spans="1:1" x14ac:dyDescent="0.3">
      <c r="A42" t="s">
        <v>522</v>
      </c>
    </row>
    <row r="43" spans="1:1" x14ac:dyDescent="0.3">
      <c r="A43" t="s">
        <v>519</v>
      </c>
    </row>
    <row r="44" spans="1:1" x14ac:dyDescent="0.3">
      <c r="A44" t="s">
        <v>523</v>
      </c>
    </row>
    <row r="46" spans="1:1" x14ac:dyDescent="0.3">
      <c r="A46" t="s">
        <v>524</v>
      </c>
    </row>
    <row r="47" spans="1:1" x14ac:dyDescent="0.3">
      <c r="A47" t="s">
        <v>525</v>
      </c>
    </row>
    <row r="49" spans="1:1" x14ac:dyDescent="0.3">
      <c r="A49" t="s">
        <v>526</v>
      </c>
    </row>
    <row r="50" spans="1:1" x14ac:dyDescent="0.3">
      <c r="A50" t="s">
        <v>527</v>
      </c>
    </row>
    <row r="51" spans="1:1" x14ac:dyDescent="0.3">
      <c r="A51" t="s">
        <v>528</v>
      </c>
    </row>
    <row r="53" spans="1:1" x14ac:dyDescent="0.3">
      <c r="A53" s="67" t="s">
        <v>529</v>
      </c>
    </row>
    <row r="54" spans="1:1" x14ac:dyDescent="0.3">
      <c r="A54" t="s">
        <v>530</v>
      </c>
    </row>
    <row r="55" spans="1:1" x14ac:dyDescent="0.3">
      <c r="A55" t="s">
        <v>531</v>
      </c>
    </row>
    <row r="56" spans="1:1" x14ac:dyDescent="0.3">
      <c r="A56" t="s">
        <v>532</v>
      </c>
    </row>
    <row r="57" spans="1:1" x14ac:dyDescent="0.3">
      <c r="A57" t="s">
        <v>533</v>
      </c>
    </row>
    <row r="58" spans="1:1" x14ac:dyDescent="0.3">
      <c r="A58" t="s">
        <v>534</v>
      </c>
    </row>
    <row r="60" spans="1:1" x14ac:dyDescent="0.3">
      <c r="A60" t="s">
        <v>535</v>
      </c>
    </row>
    <row r="61" spans="1:1" x14ac:dyDescent="0.3">
      <c r="A61" t="s">
        <v>536</v>
      </c>
    </row>
    <row r="62" spans="1:1" x14ac:dyDescent="0.3">
      <c r="A62" t="s">
        <v>537</v>
      </c>
    </row>
    <row r="63" spans="1:1" x14ac:dyDescent="0.3">
      <c r="A63" t="s">
        <v>538</v>
      </c>
    </row>
    <row r="64" spans="1:1" x14ac:dyDescent="0.3">
      <c r="A64" s="481" t="s">
        <v>539</v>
      </c>
    </row>
    <row r="65" spans="1:1" x14ac:dyDescent="0.3">
      <c r="A65" s="481" t="s">
        <v>540</v>
      </c>
    </row>
    <row r="66" spans="1:1" x14ac:dyDescent="0.3">
      <c r="A66" t="s">
        <v>541</v>
      </c>
    </row>
    <row r="67" spans="1:1" x14ac:dyDescent="0.3">
      <c r="A67" t="s">
        <v>542</v>
      </c>
    </row>
    <row r="68" spans="1:1" x14ac:dyDescent="0.3">
      <c r="A68" t="s">
        <v>543</v>
      </c>
    </row>
    <row r="69" spans="1:1" x14ac:dyDescent="0.3">
      <c r="A69" t="s">
        <v>544</v>
      </c>
    </row>
    <row r="70" spans="1:1" x14ac:dyDescent="0.3">
      <c r="A70" t="s">
        <v>545</v>
      </c>
    </row>
    <row r="72" spans="1:1" x14ac:dyDescent="0.3">
      <c r="A72" t="s">
        <v>546</v>
      </c>
    </row>
    <row r="73" spans="1:1" x14ac:dyDescent="0.3">
      <c r="A73" t="s">
        <v>547</v>
      </c>
    </row>
    <row r="74" spans="1:1" x14ac:dyDescent="0.3">
      <c r="A74" t="s">
        <v>548</v>
      </c>
    </row>
    <row r="76" spans="1:1" x14ac:dyDescent="0.3">
      <c r="A76" s="482" t="s">
        <v>549</v>
      </c>
    </row>
    <row r="77" spans="1:1" x14ac:dyDescent="0.3">
      <c r="A77" s="482" t="s">
        <v>550</v>
      </c>
    </row>
    <row r="78" spans="1:1" x14ac:dyDescent="0.3">
      <c r="A78" s="482" t="s">
        <v>551</v>
      </c>
    </row>
    <row r="79" spans="1:1" x14ac:dyDescent="0.3">
      <c r="A79" s="482" t="s">
        <v>552</v>
      </c>
    </row>
    <row r="80" spans="1:1" x14ac:dyDescent="0.3">
      <c r="A80" s="482" t="s">
        <v>553</v>
      </c>
    </row>
    <row r="81" spans="1:1" x14ac:dyDescent="0.3">
      <c r="A81" s="482" t="s">
        <v>554</v>
      </c>
    </row>
    <row r="82" spans="1:1" x14ac:dyDescent="0.3">
      <c r="A82" s="482" t="s">
        <v>555</v>
      </c>
    </row>
    <row r="83" spans="1:1" x14ac:dyDescent="0.3">
      <c r="A83" s="482" t="s">
        <v>556</v>
      </c>
    </row>
    <row r="84" spans="1:1" x14ac:dyDescent="0.3">
      <c r="A84" s="482" t="s">
        <v>557</v>
      </c>
    </row>
    <row r="85" spans="1:1" x14ac:dyDescent="0.3">
      <c r="A85" s="482" t="s">
        <v>558</v>
      </c>
    </row>
    <row r="86" spans="1:1" x14ac:dyDescent="0.3">
      <c r="A86" s="482" t="s">
        <v>559</v>
      </c>
    </row>
    <row r="87" spans="1:1" x14ac:dyDescent="0.3">
      <c r="A87" s="482" t="s">
        <v>560</v>
      </c>
    </row>
    <row r="88" spans="1:1" x14ac:dyDescent="0.3">
      <c r="A88" s="482" t="s">
        <v>561</v>
      </c>
    </row>
    <row r="89" spans="1:1" x14ac:dyDescent="0.3">
      <c r="A89" s="482" t="s">
        <v>562</v>
      </c>
    </row>
    <row r="90" spans="1:1" x14ac:dyDescent="0.3">
      <c r="A90" s="482" t="s">
        <v>563</v>
      </c>
    </row>
    <row r="91" spans="1:1" x14ac:dyDescent="0.3">
      <c r="A91" s="482" t="s">
        <v>564</v>
      </c>
    </row>
    <row r="92" spans="1:1" x14ac:dyDescent="0.3">
      <c r="A92" s="482" t="s">
        <v>571</v>
      </c>
    </row>
    <row r="93" spans="1:1" x14ac:dyDescent="0.3">
      <c r="A93" s="482" t="s">
        <v>568</v>
      </c>
    </row>
    <row r="94" spans="1:1" x14ac:dyDescent="0.3">
      <c r="A94" s="482" t="s">
        <v>569</v>
      </c>
    </row>
    <row r="95" spans="1:1" x14ac:dyDescent="0.3">
      <c r="A95" s="482" t="s">
        <v>570</v>
      </c>
    </row>
    <row r="96" spans="1:1" x14ac:dyDescent="0.3">
      <c r="A96" s="482" t="s">
        <v>572</v>
      </c>
    </row>
    <row r="97" spans="1:1" x14ac:dyDescent="0.3">
      <c r="A97" s="482" t="s">
        <v>575</v>
      </c>
    </row>
    <row r="98" spans="1:1" x14ac:dyDescent="0.3">
      <c r="A98" s="482" t="s">
        <v>576</v>
      </c>
    </row>
    <row r="99" spans="1:1" x14ac:dyDescent="0.3">
      <c r="A99" s="482" t="s">
        <v>577</v>
      </c>
    </row>
    <row r="100" spans="1:1" x14ac:dyDescent="0.3">
      <c r="A100" s="482" t="s">
        <v>578</v>
      </c>
    </row>
    <row r="101" spans="1:1" x14ac:dyDescent="0.3">
      <c r="A101" s="482" t="s">
        <v>582</v>
      </c>
    </row>
    <row r="102" spans="1:1" x14ac:dyDescent="0.3">
      <c r="A102" s="482" t="s">
        <v>587</v>
      </c>
    </row>
  </sheetData>
  <mergeCells count="12">
    <mergeCell ref="B28:C28"/>
    <mergeCell ref="D28:E28"/>
    <mergeCell ref="A2:B2"/>
    <mergeCell ref="B27:C27"/>
    <mergeCell ref="B14:C14"/>
    <mergeCell ref="B15:C15"/>
    <mergeCell ref="D27:E27"/>
    <mergeCell ref="D14:E14"/>
    <mergeCell ref="D15:E15"/>
    <mergeCell ref="A18:B18"/>
    <mergeCell ref="B16:C16"/>
    <mergeCell ref="D16:E16"/>
  </mergeCells>
  <phoneticPr fontId="40" type="noConversion"/>
  <conditionalFormatting sqref="D14:D16">
    <cfRule type="containsText" dxfId="75" priority="27" operator="containsText" text="Non réussi">
      <formula>NOT(ISERROR(SEARCH("Non réussi",D14)))</formula>
    </cfRule>
    <cfRule type="containsText" dxfId="74" priority="28" operator="containsText" text="Réussi">
      <formula>NOT(ISERROR(SEARCH("Réussi",D14)))</formula>
    </cfRule>
  </conditionalFormatting>
  <conditionalFormatting sqref="D27:D28">
    <cfRule type="containsText" dxfId="73" priority="7" operator="containsText" text="Non réussi">
      <formula>NOT(ISERROR(SEARCH("Non réussi",D27)))</formula>
    </cfRule>
    <cfRule type="containsText" dxfId="72" priority="8" operator="containsText" text="Réussi">
      <formula>NOT(ISERROR(SEARCH("Réussi",D27)))</formula>
    </cfRule>
  </conditionalFormatting>
  <conditionalFormatting sqref="D14:E16">
    <cfRule type="containsText" dxfId="71" priority="18" operator="containsText" text="Pas concerné">
      <formula>NOT(ISERROR(SEARCH("Pas concerné",D14)))</formula>
    </cfRule>
  </conditionalFormatting>
  <conditionalFormatting sqref="D16:E16">
    <cfRule type="cellIs" dxfId="70" priority="17" operator="greaterThan">
      <formula>0</formula>
    </cfRule>
  </conditionalFormatting>
  <conditionalFormatting sqref="D27:E28">
    <cfRule type="containsText" dxfId="69" priority="6" operator="containsText" text="Pas concerné">
      <formula>NOT(ISERROR(SEARCH("Pas concerné",D27)))</formula>
    </cfRule>
  </conditionalFormatting>
  <conditionalFormatting sqref="D28:E28">
    <cfRule type="cellIs" dxfId="68" priority="5" operator="greaterThan">
      <formula>0</formula>
    </cfRule>
  </conditionalFormatting>
  <conditionalFormatting sqref="E12">
    <cfRule type="cellIs" dxfId="67" priority="64" operator="greaterThan">
      <formula>0</formula>
    </cfRule>
    <cfRule type="cellIs" dxfId="66" priority="65" operator="lessThan">
      <formula>0</formula>
    </cfRule>
  </conditionalFormatting>
  <conditionalFormatting sqref="F20:F25">
    <cfRule type="cellIs" dxfId="65" priority="38" operator="lessThanOrEqual">
      <formula>0</formula>
    </cfRule>
    <cfRule type="cellIs" dxfId="64" priority="39" operator="greaterThan">
      <formula>0</formula>
    </cfRule>
  </conditionalFormatting>
  <conditionalFormatting sqref="H12">
    <cfRule type="cellIs" dxfId="63" priority="62" operator="greaterThan">
      <formula>0</formula>
    </cfRule>
    <cfRule type="cellIs" dxfId="62" priority="63" operator="lessThan">
      <formula>0</formula>
    </cfRule>
  </conditionalFormatting>
  <conditionalFormatting sqref="J20">
    <cfRule type="cellIs" dxfId="61" priority="23" operator="greaterThanOrEqual">
      <formula>0</formula>
    </cfRule>
    <cfRule type="cellIs" dxfId="60" priority="24" operator="lessThan">
      <formula>0</formula>
    </cfRule>
  </conditionalFormatting>
  <conditionalFormatting sqref="J26">
    <cfRule type="cellIs" dxfId="59" priority="15" operator="greaterThanOrEqual">
      <formula>0</formula>
    </cfRule>
    <cfRule type="cellIs" dxfId="58" priority="16" operator="lessThan">
      <formula>0</formula>
    </cfRule>
  </conditionalFormatting>
  <conditionalFormatting sqref="K12">
    <cfRule type="cellIs" dxfId="57" priority="56" operator="greaterThan">
      <formula>0</formula>
    </cfRule>
    <cfRule type="cellIs" dxfId="56" priority="57" operator="lessThan">
      <formula>0</formula>
    </cfRule>
  </conditionalFormatting>
  <conditionalFormatting sqref="N12">
    <cfRule type="cellIs" dxfId="55" priority="52" operator="greaterThan">
      <formula>0</formula>
    </cfRule>
    <cfRule type="cellIs" dxfId="54" priority="53" operator="lessThan">
      <formula>0</formula>
    </cfRule>
  </conditionalFormatting>
  <conditionalFormatting sqref="Q12">
    <cfRule type="cellIs" dxfId="53" priority="46" operator="lessThan">
      <formula>0</formula>
    </cfRule>
    <cfRule type="cellIs" dxfId="52" priority="47" operator="greaterThan">
      <formula>0</formula>
    </cfRule>
  </conditionalFormatting>
  <conditionalFormatting sqref="T12">
    <cfRule type="cellIs" dxfId="51" priority="48" operator="lessThan">
      <formula>0</formula>
    </cfRule>
    <cfRule type="cellIs" dxfId="50" priority="49" operator="greaterThan">
      <formula>0</formula>
    </cfRule>
  </conditionalFormatting>
  <conditionalFormatting sqref="X12">
    <cfRule type="cellIs" dxfId="49" priority="1" operator="lessThan">
      <formula>0</formula>
    </cfRule>
    <cfRule type="cellIs" dxfId="48" priority="2" operator="greaterThan">
      <formula>0</formula>
    </cfRule>
  </conditionalFormatting>
  <pageMargins left="0.70866141732283472" right="0.70866141732283472" top="0.74803149606299213" bottom="0.74803149606299213" header="0.31496062992125984" footer="0.31496062992125984"/>
  <pageSetup paperSize="9" scale="64" orientation="landscape" r:id="rId1"/>
  <headerFooter>
    <oddFooter>&amp;L&amp;Z&amp;F
&amp;D&amp;T&amp;R&amp;P/&amp;N</oddFooter>
  </headerFooter>
  <ignoredErrors>
    <ignoredError sqref="E24" formula="1"/>
  </ignoredError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115B4-EE6C-4E53-B971-D60F80C28C8D}">
  <sheetPr>
    <tabColor theme="5" tint="0.39997558519241921"/>
    <pageSetUpPr fitToPage="1"/>
  </sheetPr>
  <dimension ref="A1:Z31"/>
  <sheetViews>
    <sheetView zoomScaleNormal="100" workbookViewId="0">
      <selection activeCell="Q12" sqref="Q12"/>
    </sheetView>
  </sheetViews>
  <sheetFormatPr defaultRowHeight="14.4" outlineLevelRow="1" outlineLevelCol="1" x14ac:dyDescent="0.3"/>
  <cols>
    <col min="1" max="1" width="6.6640625" customWidth="1"/>
    <col min="2" max="2" width="13.33203125" bestFit="1" customWidth="1"/>
    <col min="3" max="3" width="8.5546875" customWidth="1"/>
    <col min="4" max="4" width="8.33203125" customWidth="1"/>
    <col min="5" max="5" width="7.6640625" customWidth="1"/>
    <col min="6" max="6" width="10.5546875" bestFit="1" customWidth="1"/>
    <col min="10" max="10" width="9.109375" customWidth="1"/>
    <col min="15" max="15" width="9.5546875" bestFit="1" customWidth="1"/>
    <col min="22" max="22" width="9.109375" customWidth="1"/>
    <col min="23" max="23" width="11.5546875" hidden="1" customWidth="1" outlineLevel="1"/>
    <col min="24" max="25" width="9.109375" hidden="1" customWidth="1" outlineLevel="1"/>
    <col min="26" max="26" width="9.109375" collapsed="1"/>
  </cols>
  <sheetData>
    <row r="1" spans="1:25" ht="21" x14ac:dyDescent="0.4">
      <c r="A1" s="153" t="s">
        <v>511</v>
      </c>
      <c r="G1" s="434"/>
    </row>
    <row r="2" spans="1:25" ht="15.6" x14ac:dyDescent="0.3">
      <c r="A2" s="557" t="s">
        <v>408</v>
      </c>
      <c r="B2" s="557"/>
      <c r="C2" s="96"/>
      <c r="D2" s="96"/>
      <c r="E2" s="96"/>
      <c r="F2" s="96"/>
      <c r="G2" s="96" t="s">
        <v>73</v>
      </c>
      <c r="H2" s="96"/>
      <c r="I2" s="96"/>
      <c r="J2" s="96" t="s">
        <v>443</v>
      </c>
      <c r="K2" s="96"/>
      <c r="L2" s="96"/>
      <c r="M2" s="96" t="s">
        <v>70</v>
      </c>
      <c r="N2" s="96"/>
      <c r="O2" s="96"/>
      <c r="P2" s="96" t="s">
        <v>466</v>
      </c>
      <c r="Q2" s="96"/>
      <c r="R2" s="96"/>
      <c r="S2" s="96" t="s">
        <v>467</v>
      </c>
      <c r="U2" s="439" t="e">
        <f>SUM(U4:U10)</f>
        <v>#N/A</v>
      </c>
    </row>
    <row r="3" spans="1:25" ht="43.8" thickBot="1" x14ac:dyDescent="0.35">
      <c r="A3" s="432" t="s">
        <v>425</v>
      </c>
      <c r="B3" s="432" t="s">
        <v>432</v>
      </c>
      <c r="C3" s="428" t="s">
        <v>434</v>
      </c>
      <c r="D3" s="428" t="s">
        <v>435</v>
      </c>
      <c r="E3" s="428" t="s">
        <v>436</v>
      </c>
      <c r="F3" s="429" t="s">
        <v>437</v>
      </c>
      <c r="G3" s="429" t="s">
        <v>438</v>
      </c>
      <c r="H3" s="429" t="s">
        <v>439</v>
      </c>
      <c r="I3" s="430" t="s">
        <v>440</v>
      </c>
      <c r="J3" s="430" t="s">
        <v>441</v>
      </c>
      <c r="K3" s="430" t="s">
        <v>442</v>
      </c>
      <c r="L3" s="429" t="s">
        <v>444</v>
      </c>
      <c r="M3" s="429" t="s">
        <v>445</v>
      </c>
      <c r="N3" s="429" t="s">
        <v>446</v>
      </c>
      <c r="O3" s="430" t="s">
        <v>447</v>
      </c>
      <c r="P3" s="430" t="s">
        <v>448</v>
      </c>
      <c r="Q3" s="430" t="s">
        <v>449</v>
      </c>
      <c r="R3" s="429" t="s">
        <v>473</v>
      </c>
      <c r="S3" s="429" t="s">
        <v>474</v>
      </c>
      <c r="T3" s="429" t="s">
        <v>475</v>
      </c>
      <c r="U3" s="433" t="s">
        <v>450</v>
      </c>
    </row>
    <row r="4" spans="1:25" ht="15" thickBot="1" x14ac:dyDescent="0.35">
      <c r="A4" t="s">
        <v>426</v>
      </c>
      <c r="B4" t="s">
        <v>340</v>
      </c>
      <c r="C4" s="65">
        <f>SUMIFS('F2 - Facturation J'!$E:$E,'F2 - Facturation J'!$B:$B,$B4)/Data!$B$5*SUMIFS(Data!$AH$4:$AH$18,Data!$AB$4:$AB$18,$B4)-
SUMIFS('F2 - Facturation J'!$E:$E,'F2 - Facturation J'!$B:$B,$B4)/Data!$B$5*SUMIFS(Data!$AH$4:$AH$18,Data!$AB$4:$AB$18,$B4)*0.1*80/Data!$B$5</f>
        <v>0</v>
      </c>
      <c r="D4" s="65" cm="1">
        <f t="array" ref="D4">SUM((RDP_Effectif[ETP après déduction des h de maladie])*(RDP_Effectif[Affectation]="Encadrement")*(RDP_Effectif[Prestation]=$B4))</f>
        <v>0</v>
      </c>
      <c r="E4" s="65">
        <v>0</v>
      </c>
      <c r="F4" s="65">
        <f>IF(AND($B4="Ortho/Psycho",$C4&lt;&gt;0),($C4-$R4)*3%,0)</f>
        <v>0</v>
      </c>
      <c r="G4" s="65" cm="1">
        <f t="array" ref="G4">IFERROR(IF(B4="Ortho/Psycho",
SUM((RDP_Effectif[ETP après déduction des h de maladie])*(RDP_Effectif[Affectation]="Encadrement")*(RDP_Effectif[Prestation]=$B$4)*(_xlfn.XLOOKUP(RDP_Effectif[Carrière],Table4[Carrière],Table4[Equivalent carrière])="C7"))+
SUM((RDP_Effectif[ETP après déduction des h de maladie])*(RDP_Effectif[Affectation]="Encadrement")*(RDP_Effectif[Prestation]=$B$5)*(_xlfn.XLOOKUP(RDP_Effectif[Carrière],Table4[Carrière],Table4[Equivalent carrière])="C7"))+
SUM((RDP_Effectif[ETP après déduction des h de maladie])*(RDP_Effectif[Affectation]="Encadrement")*(RDP_Effectif[Prestation]=$B$6)*(_xlfn.XLOOKUP(RDP_Effectif[Carrière],Table4[Carrière],Table4[Equivalent carrière])="C7"))+
SUM((RDP_Effectif[ETP après déduction des h de maladie])*(RDP_Effectif[Affectation]="Encadrement")*(RDP_Effectif[Prestation]=$B$7)*(_xlfn.XLOOKUP(RDP_Effectif[Carrière],Table4[Carrière],Table4[Equivalent carrière])="C7"))+
SUM((RDP_Effectif[ETP après déduction des h de maladie])*(RDP_Effectif[Affectation]="Encadrement")*(RDP_Effectif[Prestation]=$B$8)*(_xlfn.XLOOKUP(RDP_Effectif[Carrière],Table4[Carrière],Table4[Equivalent carrière])="C7"))+
SUM((RDP_Effectif[ETP après déduction des h de maladie])*(RDP_Effectif[Affectation]="Encadrement")*(RDP_Effectif[Prestation]=$B$9)*(_xlfn.XLOOKUP(RDP_Effectif[Carrière],Table4[Carrière],Table4[Equivalent carrière])="C7")),0),0)</f>
        <v>0</v>
      </c>
      <c r="H4" s="65">
        <f t="shared" ref="H4" si="0">G4-F4</f>
        <v>0</v>
      </c>
      <c r="I4" s="65">
        <f>$C4*18.4%</f>
        <v>0</v>
      </c>
      <c r="J4" s="65" t="e" cm="1">
        <f t="array" ref="J4">SUM((RDP_Effectif[ETP après déduction des h de maladie])*(RDP_Effectif[Affectation]="Encadrement")*(RDP_Effectif[Prestation]=$B4)*(_xlfn.XLOOKUP(RDP_Effectif[Carrière],Table7[Carrière],Table7[Niveau qualification])="Post-secondaire"))</f>
        <v>#N/A</v>
      </c>
      <c r="K4" s="65" t="e">
        <f t="shared" ref="K4:K10" si="1">J4-I4</f>
        <v>#N/A</v>
      </c>
      <c r="L4" s="508">
        <v>0</v>
      </c>
      <c r="M4" s="65" t="e" cm="1">
        <f t="array" ref="M4">SUM((RDP_Effectif[ETP après déduction des h de maladie])*(RDP_Effectif[Affectation]="Encadrement")*(RDP_Effectif[Prestation]=$B4)*(_xlfn.XLOOKUP(RDP_Effectif[Carrière],Table7[Carrière],Table7[Niveau qualification])="Secondaire"))</f>
        <v>#N/A</v>
      </c>
      <c r="N4" s="508">
        <v>0</v>
      </c>
      <c r="O4" s="65">
        <f t="shared" ref="O4:O9" si="2">$C4*16%</f>
        <v>0</v>
      </c>
      <c r="P4" s="65" t="e" cm="1">
        <f t="array" ref="P4">SUM((RDP_Effectif[ETP après déduction des h de maladie])*(RDP_Effectif[Affectation]="Encadrement")*(RDP_Effectif[Prestation]=$B4)*(_xlfn.XLOOKUP(RDP_Effectif[Carrière],Table7[Carrière],Table7[Niveau qualification])="ASF et aux. de vie"))</f>
        <v>#N/A</v>
      </c>
      <c r="Q4" s="65" t="e">
        <f t="shared" ref="Q4:Q10" si="3">P4-O4</f>
        <v>#N/A</v>
      </c>
      <c r="R4" s="65">
        <f t="shared" ref="R4:R9" si="4">$C4*20%</f>
        <v>0</v>
      </c>
      <c r="S4" s="65" t="e" cm="1">
        <f t="array" ref="S4">SUM((RDP_Effectif[ETP après déduction des h de maladie])*(RDP_Effectif[Affectation]="Encadrement")*(RDP_Effectif[Prestation]=$B4)*(_xlfn.XLOOKUP(RDP_Effectif[Carrière],Table7[Carrière],Table7[Niveau qualification])="Non qualifié"))</f>
        <v>#N/A</v>
      </c>
      <c r="T4" s="65" t="e">
        <f>S4-R4</f>
        <v>#N/A</v>
      </c>
      <c r="U4" s="431" t="e">
        <f>+D4-J4-M4-P4-S4</f>
        <v>#N/A</v>
      </c>
      <c r="W4" s="449" t="s">
        <v>595</v>
      </c>
      <c r="X4" s="460" t="e">
        <f>IF((E10+H17+K17)*-1&lt;0,0,(E10+H17+K17)*-1)</f>
        <v>#N/A</v>
      </c>
      <c r="Y4" s="461"/>
    </row>
    <row r="5" spans="1:25" x14ac:dyDescent="0.3">
      <c r="A5" t="s">
        <v>427</v>
      </c>
      <c r="B5" t="s">
        <v>237</v>
      </c>
      <c r="C5" s="65">
        <f>SUMIFS('F2 - Facturation J'!$E:$E,'F2 - Facturation J'!$B:$B,$B5)/Data!$B$5*SUMIFS(Data!$AH$4:$AH$18,Data!$AB$4:$AB$18,$B5)-
SUMIFS('F2 - Facturation J'!$E:$E,'F2 - Facturation J'!$B:$B,$B5)/Data!$B$5*SUMIFS(Data!$AH$4:$AH$18,Data!$AB$4:$AB$18,$B5)*0.1*80/Data!$B$5</f>
        <v>0</v>
      </c>
      <c r="D5" s="65" cm="1">
        <f t="array" ref="D5">SUM((RDP_Effectif[ETP après déduction des h de maladie])*(RDP_Effectif[Affectation]="Encadrement")*(RDP_Effectif[Prestation]=$B5))</f>
        <v>0</v>
      </c>
      <c r="E5" s="65">
        <v>0</v>
      </c>
      <c r="F5" s="65">
        <f t="shared" ref="F5:F9" si="5">IF(AND($B5="Ortho/Psycho",$C5&lt;&gt;0),($C5-$R5)*3%,0)</f>
        <v>0</v>
      </c>
      <c r="G5" s="65" cm="1">
        <f t="array" ref="G5">IFERROR(IF(B5="Ortho/Psycho",
SUM((RDP_Effectif[ETP après déduction des h de maladie])*(RDP_Effectif[Affectation]="Encadrement")*(RDP_Effectif[Prestation]=$B$4)*(_xlfn.XLOOKUP(RDP_Effectif[Carrière],Table4[Carrière],Table4[Equivalent carrière])="C7"))+
SUM((RDP_Effectif[ETP après déduction des h de maladie])*(RDP_Effectif[Affectation]="Encadrement")*(RDP_Effectif[Prestation]=$B$5)*(_xlfn.XLOOKUP(RDP_Effectif[Carrière],Table4[Carrière],Table4[Equivalent carrière])="C7"))+
SUM((RDP_Effectif[ETP après déduction des h de maladie])*(RDP_Effectif[Affectation]="Encadrement")*(RDP_Effectif[Prestation]=$B$6)*(_xlfn.XLOOKUP(RDP_Effectif[Carrière],Table4[Carrière],Table4[Equivalent carrière])="C7"))+
SUM((RDP_Effectif[ETP après déduction des h de maladie])*(RDP_Effectif[Affectation]="Encadrement")*(RDP_Effectif[Prestation]=$B$7)*(_xlfn.XLOOKUP(RDP_Effectif[Carrière],Table4[Carrière],Table4[Equivalent carrière])="C7"))+
SUM((RDP_Effectif[ETP après déduction des h de maladie])*(RDP_Effectif[Affectation]="Encadrement")*(RDP_Effectif[Prestation]=$B$8)*(_xlfn.XLOOKUP(RDP_Effectif[Carrière],Table4[Carrière],Table4[Equivalent carrière])="C7"))+
SUM((RDP_Effectif[ETP après déduction des h de maladie])*(RDP_Effectif[Affectation]="Encadrement")*(RDP_Effectif[Prestation]=$B$9)*(_xlfn.XLOOKUP(RDP_Effectif[Carrière],Table4[Carrière],Table4[Equivalent carrière])="C7")),0),0)</f>
        <v>0</v>
      </c>
      <c r="H5" s="65">
        <f>G5-F5</f>
        <v>0</v>
      </c>
      <c r="I5" s="65">
        <f>$C5*24%</f>
        <v>0</v>
      </c>
      <c r="J5" s="65" t="e" cm="1">
        <f t="array" ref="J5">SUM((RDP_Effectif[ETP après déduction des h de maladie])*(RDP_Effectif[Affectation]="Encadrement")*(RDP_Effectif[Prestation]=$B5)*(_xlfn.XLOOKUP(RDP_Effectif[Carrière],Table7[Carrière],Table7[Niveau qualification])="Post-secondaire"))</f>
        <v>#N/A</v>
      </c>
      <c r="K5" s="65" t="e">
        <f t="shared" si="1"/>
        <v>#N/A</v>
      </c>
      <c r="L5" s="508">
        <v>0</v>
      </c>
      <c r="M5" s="65" t="e" cm="1">
        <f t="array" ref="M5">SUM((RDP_Effectif[ETP après déduction des h de maladie])*(RDP_Effectif[Affectation]="Encadrement")*(RDP_Effectif[Prestation]=$B5)*(_xlfn.XLOOKUP(RDP_Effectif[Carrière],Table7[Carrière],Table7[Niveau qualification])="Secondaire"))</f>
        <v>#N/A</v>
      </c>
      <c r="N5" s="508">
        <v>0</v>
      </c>
      <c r="O5" s="65">
        <f t="shared" si="2"/>
        <v>0</v>
      </c>
      <c r="P5" s="65" t="e" cm="1">
        <f t="array" ref="P5">SUM((RDP_Effectif[ETP après déduction des h de maladie])*(RDP_Effectif[Affectation]="Encadrement")*(RDP_Effectif[Prestation]=$B5)*(_xlfn.XLOOKUP(RDP_Effectif[Carrière],Table7[Carrière],Table7[Niveau qualification])="ASF et aux. de vie"))</f>
        <v>#N/A</v>
      </c>
      <c r="Q5" s="65" t="e">
        <f t="shared" si="3"/>
        <v>#N/A</v>
      </c>
      <c r="R5" s="65">
        <f t="shared" si="4"/>
        <v>0</v>
      </c>
      <c r="S5" s="65" t="e" cm="1">
        <f t="array" ref="S5">SUM((RDP_Effectif[ETP après déduction des h de maladie])*(RDP_Effectif[Affectation]="Encadrement")*(RDP_Effectif[Prestation]=$B5)*(_xlfn.XLOOKUP(RDP_Effectif[Carrière],Table7[Carrière],Table7[Niveau qualification])="Non qualifié"))</f>
        <v>#N/A</v>
      </c>
      <c r="T5" s="65" t="e">
        <f t="shared" ref="T5:T10" si="6">S5-R5</f>
        <v>#N/A</v>
      </c>
      <c r="U5" s="431" t="e">
        <f t="shared" ref="U5:U9" si="7">+D5-J5-M5-P5-S5</f>
        <v>#N/A</v>
      </c>
      <c r="W5" s="502" t="s">
        <v>69</v>
      </c>
      <c r="X5" s="457" t="e">
        <f>IF(X4&gt;0,
IF(T11&gt;0,
IF(T11&lt;X4,T11,X4),0),0)</f>
        <v>#N/A</v>
      </c>
      <c r="Y5" s="503" t="e">
        <f>X5*T18</f>
        <v>#N/A</v>
      </c>
    </row>
    <row r="6" spans="1:25" x14ac:dyDescent="0.3">
      <c r="A6" t="s">
        <v>428</v>
      </c>
      <c r="B6" t="s">
        <v>110</v>
      </c>
      <c r="C6" s="65">
        <f>SUMIFS('F2 - Facturation J'!$E:$E,'F2 - Facturation J'!$B:$B,$B6)/Data!$B$5*SUMIFS(Data!$AH$4:$AH$18,Data!$AB$4:$AB$18,$B6)-
SUMIFS('F2 - Facturation J'!$E:$E,'F2 - Facturation J'!$B:$B,$B6)/Data!$B$5*SUMIFS(Data!$AH$4:$AH$18,Data!$AB$4:$AB$18,$B6)*0.1*80/Data!$B$5</f>
        <v>0</v>
      </c>
      <c r="D6" s="65" cm="1">
        <f t="array" ref="D6">SUM((RDP_Effectif[ETP après déduction des h de maladie])*(RDP_Effectif[Affectation]="Encadrement")*(RDP_Effectif[Prestation]=$B6))</f>
        <v>0</v>
      </c>
      <c r="E6" s="65">
        <v>0</v>
      </c>
      <c r="F6" s="65">
        <f t="shared" si="5"/>
        <v>0</v>
      </c>
      <c r="G6" s="65" cm="1">
        <f t="array" ref="G6">IFERROR(IF(B6="Ortho/Psycho",
SUM((RDP_Effectif[ETP après déduction des h de maladie])*(RDP_Effectif[Affectation]="Encadrement")*(RDP_Effectif[Prestation]=$B$4)*(_xlfn.XLOOKUP(RDP_Effectif[Carrière],Table4[Carrière],Table4[Equivalent carrière])="C7"))+
SUM((RDP_Effectif[ETP après déduction des h de maladie])*(RDP_Effectif[Affectation]="Encadrement")*(RDP_Effectif[Prestation]=$B$5)*(_xlfn.XLOOKUP(RDP_Effectif[Carrière],Table4[Carrière],Table4[Equivalent carrière])="C7"))+
SUM((RDP_Effectif[ETP après déduction des h de maladie])*(RDP_Effectif[Affectation]="Encadrement")*(RDP_Effectif[Prestation]=$B$6)*(_xlfn.XLOOKUP(RDP_Effectif[Carrière],Table4[Carrière],Table4[Equivalent carrière])="C7"))+
SUM((RDP_Effectif[ETP après déduction des h de maladie])*(RDP_Effectif[Affectation]="Encadrement")*(RDP_Effectif[Prestation]=$B$7)*(_xlfn.XLOOKUP(RDP_Effectif[Carrière],Table4[Carrière],Table4[Equivalent carrière])="C7"))+
SUM((RDP_Effectif[ETP après déduction des h de maladie])*(RDP_Effectif[Affectation]="Encadrement")*(RDP_Effectif[Prestation]=$B$8)*(_xlfn.XLOOKUP(RDP_Effectif[Carrière],Table4[Carrière],Table4[Equivalent carrière])="C7"))+
SUM((RDP_Effectif[ETP après déduction des h de maladie])*(RDP_Effectif[Affectation]="Encadrement")*(RDP_Effectif[Prestation]=$B$9)*(_xlfn.XLOOKUP(RDP_Effectif[Carrière],Table4[Carrière],Table4[Equivalent carrière])="C7")),0),0)</f>
        <v>0</v>
      </c>
      <c r="H6" s="65">
        <f t="shared" ref="H6:H10" si="8">G6-F6</f>
        <v>0</v>
      </c>
      <c r="I6" s="65">
        <f>$C6*32%</f>
        <v>0</v>
      </c>
      <c r="J6" s="65" t="e" cm="1">
        <f t="array" ref="J6">SUM((RDP_Effectif[ETP après déduction des h de maladie])*(RDP_Effectif[Affectation]="Encadrement")*(RDP_Effectif[Prestation]=$B6)*(_xlfn.XLOOKUP(RDP_Effectif[Carrière],Table7[Carrière],Table7[Niveau qualification])="Post-secondaire"))</f>
        <v>#N/A</v>
      </c>
      <c r="K6" s="65" t="e">
        <f t="shared" si="1"/>
        <v>#N/A</v>
      </c>
      <c r="L6" s="508">
        <v>0</v>
      </c>
      <c r="M6" s="65" t="e" cm="1">
        <f t="array" ref="M6">SUM((RDP_Effectif[ETP après déduction des h de maladie])*(RDP_Effectif[Affectation]="Encadrement")*(RDP_Effectif[Prestation]=$B6)*(_xlfn.XLOOKUP(RDP_Effectif[Carrière],Table7[Carrière],Table7[Niveau qualification])="Secondaire"))</f>
        <v>#N/A</v>
      </c>
      <c r="N6" s="508">
        <v>0</v>
      </c>
      <c r="O6" s="65">
        <f t="shared" si="2"/>
        <v>0</v>
      </c>
      <c r="P6" s="65" t="e" cm="1">
        <f t="array" ref="P6">SUM((RDP_Effectif[ETP après déduction des h de maladie])*(RDP_Effectif[Affectation]="Encadrement")*(RDP_Effectif[Prestation]=$B6)*(_xlfn.XLOOKUP(RDP_Effectif[Carrière],Table7[Carrière],Table7[Niveau qualification])="ASF et aux. de vie"))</f>
        <v>#N/A</v>
      </c>
      <c r="Q6" s="65" t="e">
        <f t="shared" si="3"/>
        <v>#N/A</v>
      </c>
      <c r="R6" s="65">
        <f t="shared" si="4"/>
        <v>0</v>
      </c>
      <c r="S6" s="65" t="e" cm="1">
        <f t="array" ref="S6">SUM((RDP_Effectif[ETP après déduction des h de maladie])*(RDP_Effectif[Affectation]="Encadrement")*(RDP_Effectif[Prestation]=$B6)*(_xlfn.XLOOKUP(RDP_Effectif[Carrière],Table7[Carrière],Table7[Niveau qualification])="Non qualifié"))</f>
        <v>#N/A</v>
      </c>
      <c r="T6" s="65" t="e">
        <f t="shared" si="6"/>
        <v>#N/A</v>
      </c>
      <c r="U6" s="431" t="e">
        <f t="shared" si="7"/>
        <v>#N/A</v>
      </c>
      <c r="W6" s="447" t="s">
        <v>160</v>
      </c>
      <c r="X6" s="458" t="e">
        <f>IF(X4-X5&gt;0,
IF(Q11-T13&gt;0,
IF(Q11-T13&lt;(X4-X5),Q11-T13,(X4-X5)),0),0)</f>
        <v>#N/A</v>
      </c>
      <c r="Y6" s="445" t="e">
        <f>+X6*Q18</f>
        <v>#N/A</v>
      </c>
    </row>
    <row r="7" spans="1:25" ht="15" thickBot="1" x14ac:dyDescent="0.35">
      <c r="A7" t="s">
        <v>429</v>
      </c>
      <c r="B7" t="s">
        <v>112</v>
      </c>
      <c r="C7" s="65">
        <f>SUMIFS('F2 - Facturation J'!$E:$E,'F2 - Facturation J'!$B:$B,$B7)/Data!$B$5*SUMIFS(Data!$AH$4:$AH$18,Data!$AB$4:$AB$18,$B7)-
SUMIFS('F2 - Facturation J'!$E:$E,'F2 - Facturation J'!$B:$B,$B7)/Data!$B$5*SUMIFS(Data!$AH$4:$AH$18,Data!$AB$4:$AB$18,$B7)*0.1*80/Data!$B$5</f>
        <v>0</v>
      </c>
      <c r="D7" s="65" cm="1">
        <f t="array" ref="D7">SUM((RDP_Effectif[ETP après déduction des h de maladie])*(RDP_Effectif[Affectation]="Encadrement")*(RDP_Effectif[Prestation]=$B7))</f>
        <v>0</v>
      </c>
      <c r="E7" s="65">
        <v>0</v>
      </c>
      <c r="F7" s="65">
        <f t="shared" si="5"/>
        <v>0</v>
      </c>
      <c r="G7" s="65" cm="1">
        <f t="array" ref="G7">IFERROR(IF(B7="Ortho/Psycho",
SUM((RDP_Effectif[ETP après déduction des h de maladie])*(RDP_Effectif[Affectation]="Encadrement")*(RDP_Effectif[Prestation]=$B$4)*(_xlfn.XLOOKUP(RDP_Effectif[Carrière],Table4[Carrière],Table4[Equivalent carrière])="C7"))+
SUM((RDP_Effectif[ETP après déduction des h de maladie])*(RDP_Effectif[Affectation]="Encadrement")*(RDP_Effectif[Prestation]=$B$5)*(_xlfn.XLOOKUP(RDP_Effectif[Carrière],Table4[Carrière],Table4[Equivalent carrière])="C7"))+
SUM((RDP_Effectif[ETP après déduction des h de maladie])*(RDP_Effectif[Affectation]="Encadrement")*(RDP_Effectif[Prestation]=$B$6)*(_xlfn.XLOOKUP(RDP_Effectif[Carrière],Table4[Carrière],Table4[Equivalent carrière])="C7"))+
SUM((RDP_Effectif[ETP après déduction des h de maladie])*(RDP_Effectif[Affectation]="Encadrement")*(RDP_Effectif[Prestation]=$B$7)*(_xlfn.XLOOKUP(RDP_Effectif[Carrière],Table4[Carrière],Table4[Equivalent carrière])="C7"))+
SUM((RDP_Effectif[ETP après déduction des h de maladie])*(RDP_Effectif[Affectation]="Encadrement")*(RDP_Effectif[Prestation]=$B$8)*(_xlfn.XLOOKUP(RDP_Effectif[Carrière],Table4[Carrière],Table4[Equivalent carrière])="C7"))+
SUM((RDP_Effectif[ETP après déduction des h de maladie])*(RDP_Effectif[Affectation]="Encadrement")*(RDP_Effectif[Prestation]=$B$9)*(_xlfn.XLOOKUP(RDP_Effectif[Carrière],Table4[Carrière],Table4[Equivalent carrière])="C7")),0),0)</f>
        <v>0</v>
      </c>
      <c r="H7" s="65">
        <f t="shared" si="8"/>
        <v>0</v>
      </c>
      <c r="I7" s="65">
        <f>$C7*32%</f>
        <v>0</v>
      </c>
      <c r="J7" s="65" t="e" cm="1">
        <f t="array" ref="J7">SUM((RDP_Effectif[ETP après déduction des h de maladie])*(RDP_Effectif[Affectation]="Encadrement")*(RDP_Effectif[Prestation]=$B7)*(_xlfn.XLOOKUP(RDP_Effectif[Carrière],Table7[Carrière],Table7[Niveau qualification])="Post-secondaire"))</f>
        <v>#N/A</v>
      </c>
      <c r="K7" s="65" t="e">
        <f t="shared" si="1"/>
        <v>#N/A</v>
      </c>
      <c r="L7" s="508">
        <v>0</v>
      </c>
      <c r="M7" s="65" t="e" cm="1">
        <f t="array" ref="M7">SUM((RDP_Effectif[ETP après déduction des h de maladie])*(RDP_Effectif[Affectation]="Encadrement")*(RDP_Effectif[Prestation]=$B7)*(_xlfn.XLOOKUP(RDP_Effectif[Carrière],Table7[Carrière],Table7[Niveau qualification])="Secondaire"))</f>
        <v>#N/A</v>
      </c>
      <c r="N7" s="508">
        <v>0</v>
      </c>
      <c r="O7" s="65">
        <f t="shared" si="2"/>
        <v>0</v>
      </c>
      <c r="P7" s="65" t="e" cm="1">
        <f t="array" ref="P7">SUM((RDP_Effectif[ETP après déduction des h de maladie])*(RDP_Effectif[Affectation]="Encadrement")*(RDP_Effectif[Prestation]=$B7)*(_xlfn.XLOOKUP(RDP_Effectif[Carrière],Table7[Carrière],Table7[Niveau qualification])="ASF et aux. de vie"))</f>
        <v>#N/A</v>
      </c>
      <c r="Q7" s="65" t="e">
        <f t="shared" si="3"/>
        <v>#N/A</v>
      </c>
      <c r="R7" s="65">
        <f t="shared" si="4"/>
        <v>0</v>
      </c>
      <c r="S7" s="65" t="e" cm="1">
        <f t="array" ref="S7">SUM((RDP_Effectif[ETP après déduction des h de maladie])*(RDP_Effectif[Affectation]="Encadrement")*(RDP_Effectif[Prestation]=$B7)*(_xlfn.XLOOKUP(RDP_Effectif[Carrière],Table7[Carrière],Table7[Niveau qualification])="Non qualifié"))</f>
        <v>#N/A</v>
      </c>
      <c r="T7" s="65" t="e">
        <f t="shared" si="6"/>
        <v>#N/A</v>
      </c>
      <c r="U7" s="431" t="e">
        <f t="shared" si="7"/>
        <v>#N/A</v>
      </c>
      <c r="W7" s="448" t="s">
        <v>70</v>
      </c>
      <c r="X7" s="459" t="e">
        <f>IF(X4-X5-X6&gt;0,
X4-X5-X6,0)</f>
        <v>#N/A</v>
      </c>
      <c r="Y7" s="446" t="e">
        <f>+X7*N18</f>
        <v>#N/A</v>
      </c>
    </row>
    <row r="8" spans="1:25" x14ac:dyDescent="0.3">
      <c r="A8" t="s">
        <v>430</v>
      </c>
      <c r="B8" t="s">
        <v>111</v>
      </c>
      <c r="C8" s="65">
        <f>SUMIFS('F2 - Facturation J'!$E:$E,'F2 - Facturation J'!$B:$B,$B8)/Data!$B$5*SUMIFS(Data!$AH$4:$AH$18,Data!$AB$4:$AB$18,$B8)-
SUMIFS('F2 - Facturation J'!$E:$E,'F2 - Facturation J'!$B:$B,$B8)/Data!$B$5*SUMIFS(Data!$AH$4:$AH$18,Data!$AB$4:$AB$18,$B8)*0.1*80/Data!$B$5</f>
        <v>0</v>
      </c>
      <c r="D8" s="65" cm="1">
        <f t="array" ref="D8">SUM((RDP_Effectif[ETP après déduction des h de maladie])*(RDP_Effectif[Affectation]="Encadrement")*(RDP_Effectif[Prestation]=$B8))</f>
        <v>0</v>
      </c>
      <c r="E8" s="65">
        <v>0</v>
      </c>
      <c r="F8" s="65">
        <f t="shared" si="5"/>
        <v>0</v>
      </c>
      <c r="G8" s="65" cm="1">
        <f t="array" ref="G8">IFERROR(IF(B8="Ortho/Psycho",
SUM((RDP_Effectif[ETP après déduction des h de maladie])*(RDP_Effectif[Affectation]="Encadrement")*(RDP_Effectif[Prestation]=$B$4)*(_xlfn.XLOOKUP(RDP_Effectif[Carrière],Table4[Carrière],Table4[Equivalent carrière])="C7"))+
SUM((RDP_Effectif[ETP après déduction des h de maladie])*(RDP_Effectif[Affectation]="Encadrement")*(RDP_Effectif[Prestation]=$B$5)*(_xlfn.XLOOKUP(RDP_Effectif[Carrière],Table4[Carrière],Table4[Equivalent carrière])="C7"))+
SUM((RDP_Effectif[ETP après déduction des h de maladie])*(RDP_Effectif[Affectation]="Encadrement")*(RDP_Effectif[Prestation]=$B$6)*(_xlfn.XLOOKUP(RDP_Effectif[Carrière],Table4[Carrière],Table4[Equivalent carrière])="C7"))+
SUM((RDP_Effectif[ETP après déduction des h de maladie])*(RDP_Effectif[Affectation]="Encadrement")*(RDP_Effectif[Prestation]=$B$7)*(_xlfn.XLOOKUP(RDP_Effectif[Carrière],Table4[Carrière],Table4[Equivalent carrière])="C7"))+
SUM((RDP_Effectif[ETP après déduction des h de maladie])*(RDP_Effectif[Affectation]="Encadrement")*(RDP_Effectif[Prestation]=$B$8)*(_xlfn.XLOOKUP(RDP_Effectif[Carrière],Table4[Carrière],Table4[Equivalent carrière])="C7"))+
SUM((RDP_Effectif[ETP après déduction des h de maladie])*(RDP_Effectif[Affectation]="Encadrement")*(RDP_Effectif[Prestation]=$B$9)*(_xlfn.XLOOKUP(RDP_Effectif[Carrière],Table4[Carrière],Table4[Equivalent carrière])="C7")),0),0)</f>
        <v>0</v>
      </c>
      <c r="H8" s="65">
        <f t="shared" si="8"/>
        <v>0</v>
      </c>
      <c r="I8" s="65">
        <f>$C8*32%</f>
        <v>0</v>
      </c>
      <c r="J8" s="65" t="e" cm="1">
        <f t="array" ref="J8">SUM((RDP_Effectif[ETP après déduction des h de maladie])*(RDP_Effectif[Affectation]="Encadrement")*(RDP_Effectif[Prestation]=$B8)*(_xlfn.XLOOKUP(RDP_Effectif[Carrière],Table7[Carrière],Table7[Niveau qualification])="Post-secondaire"))</f>
        <v>#N/A</v>
      </c>
      <c r="K8" s="65" t="e">
        <f t="shared" si="1"/>
        <v>#N/A</v>
      </c>
      <c r="L8" s="508">
        <v>0</v>
      </c>
      <c r="M8" s="65" t="e" cm="1">
        <f t="array" ref="M8">SUM((RDP_Effectif[ETP après déduction des h de maladie])*(RDP_Effectif[Affectation]="Encadrement")*(RDP_Effectif[Prestation]=$B8)*(_xlfn.XLOOKUP(RDP_Effectif[Carrière],Table7[Carrière],Table7[Niveau qualification])="Secondaire"))</f>
        <v>#N/A</v>
      </c>
      <c r="N8" s="508">
        <v>0</v>
      </c>
      <c r="O8" s="65">
        <f t="shared" si="2"/>
        <v>0</v>
      </c>
      <c r="P8" s="65" t="e" cm="1">
        <f t="array" ref="P8">SUM((RDP_Effectif[ETP après déduction des h de maladie])*(RDP_Effectif[Affectation]="Encadrement")*(RDP_Effectif[Prestation]=$B8)*(_xlfn.XLOOKUP(RDP_Effectif[Carrière],Table7[Carrière],Table7[Niveau qualification])="ASF et aux. de vie"))</f>
        <v>#N/A</v>
      </c>
      <c r="Q8" s="65" t="e">
        <f t="shared" si="3"/>
        <v>#N/A</v>
      </c>
      <c r="R8" s="65">
        <f t="shared" si="4"/>
        <v>0</v>
      </c>
      <c r="S8" s="65" t="e" cm="1">
        <f t="array" ref="S8">SUM((RDP_Effectif[ETP après déduction des h de maladie])*(RDP_Effectif[Affectation]="Encadrement")*(RDP_Effectif[Prestation]=$B8)*(_xlfn.XLOOKUP(RDP_Effectif[Carrière],Table7[Carrière],Table7[Niveau qualification])="Non qualifié"))</f>
        <v>#N/A</v>
      </c>
      <c r="T8" s="65" t="e">
        <f t="shared" si="6"/>
        <v>#N/A</v>
      </c>
      <c r="U8" s="431" t="e">
        <f t="shared" si="7"/>
        <v>#N/A</v>
      </c>
    </row>
    <row r="9" spans="1:25" x14ac:dyDescent="0.3">
      <c r="A9" t="s">
        <v>431</v>
      </c>
      <c r="B9" t="s">
        <v>229</v>
      </c>
      <c r="C9" s="65">
        <f>SUMIFS('F2 - Facturation J'!$E:$E,'F2 - Facturation J'!$B:$B,$B9)/Data!$B$5*SUMIFS(Data!$AH$4:$AH$18,Data!$AB$4:$AB$18,$B9)-
SUMIFS('F2 - Facturation J'!$E:$E,'F2 - Facturation J'!$B:$B,$B9)/Data!$B$5*SUMIFS(Data!$AH$4:$AH$18,Data!$AB$4:$AB$18,$B9)*0.1*80/Data!$B$5</f>
        <v>0</v>
      </c>
      <c r="D9" s="65" cm="1">
        <f t="array" ref="D9">SUM((RDP_Effectif[ETP après déduction des h de maladie])*(RDP_Effectif[Affectation]="Encadrement")*(RDP_Effectif[Prestation]=$B9))</f>
        <v>0</v>
      </c>
      <c r="E9" s="65">
        <v>0</v>
      </c>
      <c r="F9" s="65">
        <f t="shared" si="5"/>
        <v>0</v>
      </c>
      <c r="G9" s="65" cm="1">
        <f t="array" ref="G9">IFERROR(IF(B9="Ortho/Psycho",
SUM((RDP_Effectif[ETP après déduction des h de maladie])*(RDP_Effectif[Affectation]="Encadrement")*(RDP_Effectif[Prestation]=$B$4)*(_xlfn.XLOOKUP(RDP_Effectif[Carrière],Table4[Carrière],Table4[Equivalent carrière])="C7"))+
SUM((RDP_Effectif[ETP après déduction des h de maladie])*(RDP_Effectif[Affectation]="Encadrement")*(RDP_Effectif[Prestation]=$B$5)*(_xlfn.XLOOKUP(RDP_Effectif[Carrière],Table4[Carrière],Table4[Equivalent carrière])="C7"))+
SUM((RDP_Effectif[ETP après déduction des h de maladie])*(RDP_Effectif[Affectation]="Encadrement")*(RDP_Effectif[Prestation]=$B$6)*(_xlfn.XLOOKUP(RDP_Effectif[Carrière],Table4[Carrière],Table4[Equivalent carrière])="C7"))+
SUM((RDP_Effectif[ETP après déduction des h de maladie])*(RDP_Effectif[Affectation]="Encadrement")*(RDP_Effectif[Prestation]=$B$7)*(_xlfn.XLOOKUP(RDP_Effectif[Carrière],Table4[Carrière],Table4[Equivalent carrière])="C7"))+
SUM((RDP_Effectif[ETP après déduction des h de maladie])*(RDP_Effectif[Affectation]="Encadrement")*(RDP_Effectif[Prestation]=$B$8)*(_xlfn.XLOOKUP(RDP_Effectif[Carrière],Table4[Carrière],Table4[Equivalent carrière])="C7"))+
SUM((RDP_Effectif[ETP après déduction des h de maladie])*(RDP_Effectif[Affectation]="Encadrement")*(RDP_Effectif[Prestation]=$B$9)*(_xlfn.XLOOKUP(RDP_Effectif[Carrière],Table4[Carrière],Table4[Equivalent carrière])="C7")),0),0)</f>
        <v>0</v>
      </c>
      <c r="H9" s="65">
        <f t="shared" si="8"/>
        <v>0</v>
      </c>
      <c r="I9" s="65">
        <f>$C9*18.4%</f>
        <v>0</v>
      </c>
      <c r="J9" s="65" t="e" cm="1">
        <f t="array" ref="J9">SUM((RDP_Effectif[ETP après déduction des h de maladie])*(RDP_Effectif[Affectation]="Encadrement")*(RDP_Effectif[Prestation]=$B9)*(_xlfn.XLOOKUP(RDP_Effectif[Carrière],Table7[Carrière],Table7[Niveau qualification])="Post-secondaire"))</f>
        <v>#N/A</v>
      </c>
      <c r="K9" s="65" t="e">
        <f t="shared" si="1"/>
        <v>#N/A</v>
      </c>
      <c r="L9" s="508">
        <v>0</v>
      </c>
      <c r="M9" s="65" t="e" cm="1">
        <f t="array" ref="M9">SUM((RDP_Effectif[ETP après déduction des h de maladie])*(RDP_Effectif[Affectation]="Encadrement")*(RDP_Effectif[Prestation]=$B9)*(_xlfn.XLOOKUP(RDP_Effectif[Carrière],Table7[Carrière],Table7[Niveau qualification])="Secondaire"))</f>
        <v>#N/A</v>
      </c>
      <c r="N9" s="508">
        <v>0</v>
      </c>
      <c r="O9" s="65">
        <f t="shared" si="2"/>
        <v>0</v>
      </c>
      <c r="P9" s="65" t="e" cm="1">
        <f t="array" ref="P9">SUM((RDP_Effectif[ETP après déduction des h de maladie])*(RDP_Effectif[Affectation]="Encadrement")*(RDP_Effectif[Prestation]=$B9)*(_xlfn.XLOOKUP(RDP_Effectif[Carrière],Table7[Carrière],Table7[Niveau qualification])="ASF et aux. de vie"))</f>
        <v>#N/A</v>
      </c>
      <c r="Q9" s="65" t="e">
        <f t="shared" si="3"/>
        <v>#N/A</v>
      </c>
      <c r="R9" s="65">
        <f t="shared" si="4"/>
        <v>0</v>
      </c>
      <c r="S9" s="65" t="e" cm="1">
        <f t="array" ref="S9">SUM((RDP_Effectif[ETP après déduction des h de maladie])*(RDP_Effectif[Affectation]="Encadrement")*(RDP_Effectif[Prestation]=$B9)*(_xlfn.XLOOKUP(RDP_Effectif[Carrière],Table7[Carrière],Table7[Niveau qualification])="Non qualifié"))</f>
        <v>#N/A</v>
      </c>
      <c r="T9" s="65" t="e">
        <f t="shared" si="6"/>
        <v>#N/A</v>
      </c>
      <c r="U9" s="431" t="e">
        <f t="shared" si="7"/>
        <v>#N/A</v>
      </c>
    </row>
    <row r="10" spans="1:25" x14ac:dyDescent="0.3">
      <c r="A10" t="s">
        <v>46</v>
      </c>
      <c r="B10" s="96" t="s">
        <v>433</v>
      </c>
      <c r="C10" s="65">
        <f>SUM(C4:C9)</f>
        <v>0</v>
      </c>
      <c r="D10" s="65">
        <f>SUM(D4:D9)</f>
        <v>0</v>
      </c>
      <c r="E10" s="65">
        <f>D10-C10</f>
        <v>0</v>
      </c>
      <c r="F10" s="65">
        <f>SUM(F4:F9)</f>
        <v>0</v>
      </c>
      <c r="G10" s="65">
        <f>SUM(G4:G9)</f>
        <v>0</v>
      </c>
      <c r="H10" s="65">
        <f t="shared" si="8"/>
        <v>0</v>
      </c>
      <c r="I10" s="65">
        <f>SUM(I4:I9)</f>
        <v>0</v>
      </c>
      <c r="J10" s="65" t="e">
        <f>SUM(J4:J9)-
IF(AND(F10&lt;&gt;0,H10&gt;0),F10,
IF(AND(F10&lt;&gt;0,H10&lt;0),G10,0))</f>
        <v>#N/A</v>
      </c>
      <c r="K10" s="65" t="e">
        <f t="shared" si="1"/>
        <v>#N/A</v>
      </c>
      <c r="L10" s="508">
        <v>0</v>
      </c>
      <c r="M10" s="65" t="e">
        <f>SUM(M4:M9)</f>
        <v>#N/A</v>
      </c>
      <c r="N10" s="508">
        <v>0</v>
      </c>
      <c r="O10" s="65">
        <f>SUM(O4:O9)</f>
        <v>0</v>
      </c>
      <c r="P10" s="65" t="e">
        <f>SUM(P4:P9)</f>
        <v>#N/A</v>
      </c>
      <c r="Q10" s="65" t="e">
        <f t="shared" si="3"/>
        <v>#N/A</v>
      </c>
      <c r="R10" s="65">
        <f>SUM(R4:R9)</f>
        <v>0</v>
      </c>
      <c r="S10" s="65" t="e">
        <f>SUM(S4:S9)</f>
        <v>#N/A</v>
      </c>
      <c r="T10" s="65" t="e">
        <f t="shared" si="6"/>
        <v>#N/A</v>
      </c>
      <c r="U10" s="431"/>
    </row>
    <row r="11" spans="1:25" ht="15" hidden="1" outlineLevel="1" thickBot="1" x14ac:dyDescent="0.35">
      <c r="B11" s="96"/>
      <c r="C11" s="65"/>
      <c r="F11" s="65"/>
      <c r="G11" s="65"/>
      <c r="H11" s="504"/>
      <c r="I11" s="65"/>
      <c r="J11" s="65"/>
      <c r="K11" s="504" t="e">
        <f>K10-H12</f>
        <v>#N/A</v>
      </c>
      <c r="L11" s="65"/>
      <c r="M11" s="65"/>
      <c r="N11" s="65"/>
      <c r="O11" s="65"/>
      <c r="P11" s="65"/>
      <c r="Q11" s="504" t="e">
        <f>IF(AND(E10&gt;0,Q10&gt;0,T10&gt;0,E10-Q10-T10&lt;0,E10-Q10-T10&lt;-Q10),-Q10,
IF(AND(E10&gt;0,Q10&gt;0,T10&gt;0,E10-Q10-T10&lt;0,E10-Q10-T10&gt;=-Q10),E10-Q10-T10,
IF(AND(E10&gt;0,Q10&gt;0,E10-Q10&lt;0),E10-Q10,
IF(AND(E10&gt;0,Q10&gt;0,E10-Q10&gt;=0),0,
-Q10))))</f>
        <v>#N/A</v>
      </c>
      <c r="R11" s="65"/>
      <c r="S11" s="65"/>
      <c r="T11" s="504" t="e">
        <f>IF(AND(E10&gt;0,T10&gt;0,E10-T10&lt;0),E10-T10,
IF(AND(E10&gt;0,T10&gt;0,E10-T10&gt;=0),0,
-(T10+Q12)))</f>
        <v>#N/A</v>
      </c>
      <c r="U11" s="431"/>
      <c r="V11" s="504"/>
    </row>
    <row r="12" spans="1:25" ht="15" hidden="1" outlineLevel="1" thickBot="1" x14ac:dyDescent="0.35">
      <c r="B12" s="96"/>
      <c r="C12" s="65"/>
      <c r="D12" s="505" t="s">
        <v>589</v>
      </c>
      <c r="E12" s="65" t="e">
        <f>E10-IF(Q10&gt;0,Q10,0)-IF(T10&gt;0,T10,0)</f>
        <v>#N/A</v>
      </c>
      <c r="F12" s="65"/>
      <c r="G12" s="460" t="s">
        <v>590</v>
      </c>
      <c r="H12" s="460" t="e">
        <f>IF(AND(H10&lt;0,K10&gt;0,K10&gt;=-H10),-H10,
IF(AND(H10&lt;0,K10&gt;0,K10&lt;-H10),+K10,0))</f>
        <v>#N/A</v>
      </c>
      <c r="I12" s="506" t="e">
        <f>IF(H12&gt;0,H12*$H$18-H12*$K$18,0)</f>
        <v>#N/A</v>
      </c>
      <c r="J12" s="460" t="s">
        <v>591</v>
      </c>
      <c r="K12" s="507"/>
      <c r="L12" s="507"/>
      <c r="O12" s="65"/>
      <c r="P12" s="460" t="s">
        <v>592</v>
      </c>
      <c r="Q12" s="460" t="e">
        <f>IF(AND(Q11&lt;0,T10&lt;0,-T10&gt;=-Q11),-Q11,
IF(AND(Q11&lt;0,T10&lt;0,-T10&lt;-Q11),-T10,0))</f>
        <v>#N/A</v>
      </c>
      <c r="R12" s="507"/>
      <c r="S12" s="460" t="s">
        <v>592</v>
      </c>
      <c r="T12" s="507" t="s">
        <v>593</v>
      </c>
      <c r="U12" s="507"/>
    </row>
    <row r="13" spans="1:25" ht="15" hidden="1" outlineLevel="1" thickBot="1" x14ac:dyDescent="0.35">
      <c r="B13" s="96"/>
      <c r="C13" s="65"/>
      <c r="D13" s="65"/>
      <c r="E13" s="65"/>
      <c r="F13" s="65"/>
      <c r="G13" s="460" t="s">
        <v>70</v>
      </c>
      <c r="H13" s="460" t="e">
        <f>IF(SUM(H10:H12)&lt;0,
IF(M10&gt;=-SUM(H10:H12),-SUM(H10:H12),M10),0)</f>
        <v>#N/A</v>
      </c>
      <c r="I13" s="506" t="e">
        <f>IF(H13&gt;0,H13*$H$18-H13*$N$18,0)</f>
        <v>#N/A</v>
      </c>
      <c r="J13" s="460" t="s">
        <v>70</v>
      </c>
      <c r="K13" s="460" t="e">
        <f>IF(SUM(K11:K12)&lt;0,
IF(M10-H13&gt;=-SUM(K11:K12),-SUM(K11:K12),M10-H13),0)</f>
        <v>#N/A</v>
      </c>
      <c r="L13" s="506" t="e">
        <f>IF(K13&gt;0,K13*$K$18-K13*$N$18,0)</f>
        <v>#N/A</v>
      </c>
      <c r="O13" s="65"/>
      <c r="P13" s="460" t="s">
        <v>594</v>
      </c>
      <c r="Q13" s="507"/>
      <c r="R13" s="507"/>
      <c r="S13" s="460" t="s">
        <v>594</v>
      </c>
      <c r="T13" s="460" t="e">
        <f>IF(AND(SUM(T11:T12)&lt;0,Q10&lt;0,-Q10&gt;=-SUM(T11:T12)),-SUM(T11:T12),
IF(AND(SUM(T11:T12)&lt;0,Q10&lt;0,-Q10&lt;-SUM(T11:T12)),-Q10,0))</f>
        <v>#N/A</v>
      </c>
      <c r="U13" s="506" t="e">
        <f>IF(T13&gt;0,T13*$Q$18-T13*$T$18,0)</f>
        <v>#N/A</v>
      </c>
      <c r="X13" s="65"/>
      <c r="Y13" s="136"/>
    </row>
    <row r="14" spans="1:25" ht="15" hidden="1" outlineLevel="1" thickBot="1" x14ac:dyDescent="0.35">
      <c r="B14" s="96"/>
      <c r="C14" s="65"/>
      <c r="D14" s="65"/>
      <c r="E14" s="65"/>
      <c r="F14" s="65"/>
      <c r="G14" s="460" t="s">
        <v>594</v>
      </c>
      <c r="H14" s="507"/>
      <c r="I14" s="507"/>
      <c r="J14" s="460" t="s">
        <v>594</v>
      </c>
      <c r="K14" s="507"/>
      <c r="L14" s="507"/>
      <c r="O14" s="65"/>
      <c r="P14" s="460" t="s">
        <v>70</v>
      </c>
      <c r="Q14" s="460" t="e">
        <f>IF(SUM(Q11:Q12)&lt;0,-SUM(Q11:Q12),0)</f>
        <v>#N/A</v>
      </c>
      <c r="R14" s="506" t="e">
        <f>IF(Q14&gt;0,Q14*(N18-Q18),0)</f>
        <v>#N/A</v>
      </c>
      <c r="S14" s="460" t="s">
        <v>70</v>
      </c>
      <c r="T14" s="460" t="e">
        <f>IF(SUM(T11:T13)&lt;0,-SUM(T11:T13),0)</f>
        <v>#N/A</v>
      </c>
      <c r="U14" s="506" t="e">
        <f>IF(T14&gt;0,T14*(N18-T18),0)</f>
        <v>#N/A</v>
      </c>
      <c r="X14" s="65"/>
      <c r="Y14" s="136"/>
    </row>
    <row r="15" spans="1:25" ht="15" hidden="1" outlineLevel="1" thickBot="1" x14ac:dyDescent="0.35">
      <c r="B15" s="96"/>
      <c r="C15" s="65"/>
      <c r="D15" s="65"/>
      <c r="E15" s="65"/>
      <c r="F15" s="65"/>
      <c r="G15" s="460" t="s">
        <v>592</v>
      </c>
      <c r="H15" s="507" t="s">
        <v>593</v>
      </c>
      <c r="I15" s="507"/>
      <c r="J15" s="460" t="s">
        <v>592</v>
      </c>
      <c r="K15" s="507" t="s">
        <v>593</v>
      </c>
      <c r="L15" s="507"/>
      <c r="O15" s="65"/>
      <c r="P15" s="460" t="s">
        <v>591</v>
      </c>
      <c r="Q15" s="507"/>
      <c r="R15" s="507"/>
      <c r="S15" s="460" t="s">
        <v>591</v>
      </c>
      <c r="T15" s="507"/>
      <c r="U15" s="507"/>
      <c r="X15" s="65"/>
      <c r="Y15" s="136"/>
    </row>
    <row r="16" spans="1:25" ht="15" collapsed="1" thickBot="1" x14ac:dyDescent="0.35">
      <c r="H16" s="65"/>
      <c r="W16" s="65"/>
    </row>
    <row r="17" spans="1:22" ht="15" thickBot="1" x14ac:dyDescent="0.35">
      <c r="B17" s="553" t="s">
        <v>471</v>
      </c>
      <c r="C17" s="554"/>
      <c r="D17" s="558" t="str">
        <f>IF('F0 - Générales'!$B$6="Journalier",IF(E10&lt;0,"Non réussi","Réussi"),"Pas concerné")</f>
        <v>Pas concerné</v>
      </c>
      <c r="E17" s="559"/>
      <c r="H17" s="450" t="e">
        <f>IF(-SUM(H10:H15)&gt;0,-SUM(H10:H15),0)</f>
        <v>#N/A</v>
      </c>
      <c r="K17" s="450" t="e">
        <f>IF(-SUM(K11:K15)&gt;0,-SUM(K11:K15),0)</f>
        <v>#N/A</v>
      </c>
      <c r="N17" s="450">
        <v>0</v>
      </c>
      <c r="Q17" s="450" t="e">
        <f>IF(-SUM(Q11:Q15)&gt;0,-SUM(Q11:Q15),0)</f>
        <v>#N/A</v>
      </c>
      <c r="T17" s="450" t="e">
        <f>IF(-SUM(T11:T15)&gt;0,-SUM(T11:T15),0)</f>
        <v>#N/A</v>
      </c>
    </row>
    <row r="18" spans="1:22" ht="15" thickBot="1" x14ac:dyDescent="0.35">
      <c r="B18" s="553" t="s">
        <v>472</v>
      </c>
      <c r="C18" s="554"/>
      <c r="D18" s="558" t="str">
        <f>IF('F0 - Générales'!$B$6="Journalier",IF(OR(H10&lt;0,K10&lt;0,Q10&gt;0,T10&gt;0),"Non réussi","Réussi"),"Pas concerné")</f>
        <v>Pas concerné</v>
      </c>
      <c r="E18" s="559"/>
      <c r="H18" s="451">
        <f>IF(SUMIFS(Data!$BU:$BU,Data!$BP:$BP,'F0 - Générales'!$B$7,Data!$BQ:$BQ,"C7")=0,
SUMIFS(Data!$CA:$CA,Data!$BW:$BW,"C7"),
SUMIFS(Data!$BU:$BU,Data!$BP:$BP,'F0 - Générales'!$B$7,Data!$BQ:$BQ,"C7"))</f>
        <v>154056.29620100101</v>
      </c>
      <c r="K18" s="451">
        <f>IF(SUMIFS(Data!$BU:$BU,Data!$BP:$BP,'F0 - Générales'!$B$7,Data!$BQ:$BQ,"C5")=0,
SUMIFS(Data!$CA:$CA,Data!$BW:$BW,"C5"),
SUMIFS(Data!$BU:$BU,Data!$BP:$BP,'F0 - Générales'!$B$7,Data!$BQ:$BQ,"C5"))</f>
        <v>133268.89090388734</v>
      </c>
      <c r="N18" s="451">
        <f>IF(SUMIFS(Data!$BU:$BU,Data!$BP:$BP,'F0 - Générales'!$B$7,Data!$BQ:$BQ,"C4")=0,
SUMIFS(Data!$CA:$CA,Data!$BW:$BW,"C4"),
SUMIFS(Data!$BU:$BU,Data!$BP:$BP,'F0 - Générales'!$B$7,Data!$BQ:$BQ,"C4"))</f>
        <v>102930.9301827279</v>
      </c>
      <c r="Q18" s="451">
        <f>IF(SUMIFS(Data!$BU:$BU,Data!$BP:$BP,'F0 - Générales'!$B$7,Data!$BQ:$BQ,"C2 qualifié")=0,
SUMIFS(Data!$CA:$CA,Data!$BW:$BW,"C2 qualifié"),
SUMIFS(Data!$BU:$BU,Data!$BP:$BP,'F0 - Générales'!$B$7,Data!$BQ:$BQ,"C2 qualifié"))</f>
        <v>63985.167213624016</v>
      </c>
      <c r="T18" s="451">
        <f>IF(SUMIFS(Data!$BU:$BU,Data!$BP:$BP,'F0 - Générales'!$B$7,Data!$BQ:$BQ,"C1")=0,
SUMIFS(Data!$CA:$CA,Data!$BW:$BW,"C1"),
SUMIFS(Data!$BU:$BU,Data!$BP:$BP,'F0 - Générales'!$B$7,Data!$BQ:$BQ,"C1"))</f>
        <v>46610.597974143209</v>
      </c>
    </row>
    <row r="19" spans="1:22" ht="15" thickBot="1" x14ac:dyDescent="0.35">
      <c r="B19" s="553" t="s">
        <v>483</v>
      </c>
      <c r="C19" s="554"/>
      <c r="D19" s="555" t="e">
        <f>IF(AND(D18="Non réussi",SUM($H$19:$T$19)+SUM($I$12:$I$15)+SUM($L$12:$L$15)+SUM($R$12:$R$15)+SUM($U$12:$U$15)+SUM($Y$5:$Y$7)&gt;=0),
SUM($H$19:$T$19)+SUM($I$12:$I$15)+SUM($L$12:$L$15)+SUM($R$12:$R$15)+SUM($U$12:$U$15)+SUM($Y$5:$Y$7),
SUM($H$19:$T$19)+SUM($Y$5:$Y$7))</f>
        <v>#N/A</v>
      </c>
      <c r="E19" s="556"/>
      <c r="H19" s="452" t="e">
        <f>H17*H18</f>
        <v>#N/A</v>
      </c>
      <c r="I19" s="136"/>
      <c r="J19" s="136"/>
      <c r="K19" s="452" t="e">
        <f t="shared" ref="K19" si="9">K17*K18</f>
        <v>#N/A</v>
      </c>
      <c r="N19" s="452">
        <f>N17*N18</f>
        <v>0</v>
      </c>
      <c r="Q19" s="452" t="e">
        <f t="shared" ref="Q19" si="10">Q17*Q18</f>
        <v>#N/A</v>
      </c>
      <c r="T19" s="452" t="e">
        <f t="shared" ref="T19" si="11">T17*T18</f>
        <v>#N/A</v>
      </c>
    </row>
    <row r="20" spans="1:22" x14ac:dyDescent="0.3">
      <c r="N20" s="136"/>
    </row>
    <row r="21" spans="1:22" ht="15.6" x14ac:dyDescent="0.3">
      <c r="A21" s="557" t="s">
        <v>409</v>
      </c>
      <c r="B21" s="557"/>
    </row>
    <row r="22" spans="1:22" ht="43.2" x14ac:dyDescent="0.3">
      <c r="A22" s="432" t="s">
        <v>425</v>
      </c>
      <c r="B22" s="432" t="s">
        <v>432</v>
      </c>
      <c r="C22" s="429" t="s">
        <v>469</v>
      </c>
      <c r="D22" s="429" t="s">
        <v>470</v>
      </c>
      <c r="E22" s="429" t="s">
        <v>468</v>
      </c>
      <c r="F22" s="429" t="s">
        <v>436</v>
      </c>
      <c r="G22" s="430" t="s">
        <v>469</v>
      </c>
      <c r="H22" s="430" t="s">
        <v>470</v>
      </c>
      <c r="I22" s="430" t="s">
        <v>468</v>
      </c>
      <c r="J22" s="430" t="s">
        <v>436</v>
      </c>
    </row>
    <row r="23" spans="1:22" x14ac:dyDescent="0.3">
      <c r="A23" t="s">
        <v>460</v>
      </c>
      <c r="B23" s="441">
        <v>7</v>
      </c>
      <c r="C23" s="65" cm="1">
        <f t="array" ref="C23">SUM((RDP_Effectif[ETP moyen annuel])*(RDP_Effectif[Affectation]="Encadrement")*(RDP_Effectif[Prestation]=$B23))*80%</f>
        <v>0</v>
      </c>
      <c r="D23" s="65" cm="1">
        <f t="array" ref="D23">IF('F2 - Facturation H'!$Q$1="","",
IF('F2 - Facturation H'!$Q$1&lt;SUM((Table6[Efficience min])*(Table6[Activité]=$B23)),$C23*'F2 - Facturation H'!$Q$1/SUM((Table6[Efficience min])*(Table6[Activité]=$B23)),
IF('F2 - Facturation H'!$Q$1&gt;SUM((Table6[Efficience max])*(Table6[Activité]=$B23)),$C23*'F2 - Facturation H'!$Q$1/SUM((Table6[Efficience max])*(Table6[Activité]=$B23)),$C23)))</f>
        <v>0</v>
      </c>
      <c r="E23" s="65" t="e" cm="1">
        <f t="array" ref="E23">SUM((RDP_Effectif[ETP moyen annuel])*(RDP_Effectif[Affectation]="Encadrement")*(RDP_Effectif[Prestation]=$B23)*(_xlfn.XLOOKUP(RDP_Effectif[Carrière],Table7[Carrière],Table7[Niveau qualification])&lt;&gt;"Non qualifié"))</f>
        <v>#N/A</v>
      </c>
      <c r="F23" s="65" t="e">
        <f>IF(D23=0,C23-E23,D23-E23)</f>
        <v>#N/A</v>
      </c>
      <c r="G23" s="65">
        <f>$C23*20%</f>
        <v>0</v>
      </c>
      <c r="H23" s="65" cm="1">
        <f t="array" ref="H23">IF('F2 - Facturation H'!$Q$1="","",
IF('F2 - Facturation H'!$Q$1&lt;SUM((Table6[Efficience min])*(Table6[Activité]=$B23)),$G23*'F2 - Facturation H'!$Q$1/SUM((Table6[Efficience min])*(Table6[Activité]=$B23)),
IF('F2 - Facturation H'!$Q$1&gt;SUM((Table6[Efficience max])*(Table6[Activité]=$B23)),$G23*'F2 - Facturation H'!$Q$1/SUM((Table6[Efficience max])*(Table6[Activité]=$B23)),$G23)))</f>
        <v>0</v>
      </c>
      <c r="I23" s="65" t="e" cm="1">
        <f t="array" ref="I23">SUM((RDP_Effectif[ETP moyen annuel])*(RDP_Effectif[Affectation]="Encadrement")*(RDP_Effectif[Prestation]=$B23)*(_xlfn.XLOOKUP(RDP_Effectif[Carrière],Table7[Carrière],Table7[Niveau qualification])="ASF et aux. de vie"))</f>
        <v>#N/A</v>
      </c>
      <c r="J23" s="65" t="e">
        <f>IF(H23=0,G23-I23,H23-I23)</f>
        <v>#N/A</v>
      </c>
      <c r="N23" s="96" t="s">
        <v>256</v>
      </c>
      <c r="R23" t="str">
        <f>"Pour le gestionnaire "&amp;'F0 - Générales'!$B$4</f>
        <v xml:space="preserve">Pour le gestionnaire </v>
      </c>
    </row>
    <row r="24" spans="1:22" x14ac:dyDescent="0.3">
      <c r="A24" t="s">
        <v>461</v>
      </c>
      <c r="B24" s="441" t="s">
        <v>9</v>
      </c>
      <c r="C24" s="65" cm="1">
        <f t="array" ref="C24">SUM((RDP_Effectif[ETP moyen annuel])*(RDP_Effectif[Affectation]="Encadrement")*(RDP_Effectif[Prestation]=$B24))*60%</f>
        <v>0</v>
      </c>
      <c r="D24" s="65" cm="1">
        <f t="array" ref="D24">IF('F2 - Facturation H'!$Q$1="","",
IF('F2 - Facturation H'!$Q$1&lt;SUM((Table6[Efficience min])*(Table6[Activité]=$B24)),$C24*'F2 - Facturation H'!$Q$1/SUM((Table6[Efficience min])*(Table6[Activité]=$B24)),
IF('F2 - Facturation H'!$Q$1&gt;SUM((Table6[Efficience max])*(Table6[Activité]=$B24)),$C24*'F2 - Facturation H'!$Q$1/SUM((Table6[Efficience max])*(Table6[Activité]=$B24)),$C24)))</f>
        <v>0</v>
      </c>
      <c r="E24" s="65" t="e" cm="1">
        <f t="array" ref="E24">SUM((RDP_Effectif[[ETP moyen annuel]:[ETP moyen annuel]])*(RDP_Effectif[[Affectation]:[Affectation]]="Encadrement")*(RDP_Effectif[[Prestation]:[Prestation]]=$B24)*(_xlfn.XLOOKUP(RDP_Effectif[[Carrière]:[Carrière]],Table4[[Carrière]:[Carrière]],Table4[[Equivalent carrière]:[Equivalent carrière]])="C6"))+
SUM((RDP_Effectif[[ETP moyen annuel]:[ETP moyen annuel]])*(RDP_Effectif[[Affectation]:[Affectation]]="Encadrement")*(RDP_Effectif[[Prestation]:[Prestation]]=$B24)*(_xlfn.XLOOKUP(RDP_Effectif[[Carrière]:[Carrière]],Table4[[Carrière]:[Carrière]],Table4[[Equivalent carrière]:[Equivalent carrière]])="C7"))</f>
        <v>#N/A</v>
      </c>
      <c r="F24" s="65" t="e">
        <f t="shared" ref="F24:F28" si="12">IF(D24=0,C24-E24,D24-E24)</f>
        <v>#N/A</v>
      </c>
      <c r="N24" s="96" t="s">
        <v>255</v>
      </c>
      <c r="R24" t="s">
        <v>498</v>
      </c>
    </row>
    <row r="25" spans="1:22" x14ac:dyDescent="0.3">
      <c r="A25" t="s">
        <v>462</v>
      </c>
      <c r="B25" s="441" t="s">
        <v>11</v>
      </c>
      <c r="C25" s="65" cm="1">
        <f t="array" ref="C25">SUM((RDP_Effectif[ETP moyen annuel])*(RDP_Effectif[Affectation]="Encadrement")*(RDP_Effectif[Prestation]=$B25))*60%</f>
        <v>0</v>
      </c>
      <c r="D25" s="65" cm="1">
        <f t="array" ref="D25">IF('F2 - Facturation H'!$Q$1="","",
IF('F2 - Facturation H'!$Q$1&lt;SUM((Table6[Efficience min])*(Table6[Activité]=$B25)),$C25*'F2 - Facturation H'!$Q$1/SUM((Table6[Efficience min])*(Table6[Activité]=$B25)),
IF('F2 - Facturation H'!$Q$1&gt;SUM((Table6[Efficience max])*(Table6[Activité]=$B25)),$C25*'F2 - Facturation H'!$Q$1/SUM((Table6[Efficience max])*(Table6[Activité]=$B25)),$C25)))</f>
        <v>0</v>
      </c>
      <c r="E25" s="65" t="e" cm="1">
        <f t="array" ref="E25">SUM((RDP_Effectif[[ETP moyen annuel]:[ETP moyen annuel]])*(RDP_Effectif[[Affectation]:[Affectation]]="Encadrement")*(RDP_Effectif[[Prestation]:[Prestation]]=$B25)*(_xlfn.XLOOKUP(RDP_Effectif[[Carrière]:[Carrière]],Table4[[Carrière]:[Carrière]],Table4[[Equivalent carrière]:[Equivalent carrière]])="C6"))+
SUM((RDP_Effectif[[ETP moyen annuel]:[ETP moyen annuel]])*(RDP_Effectif[[Affectation]:[Affectation]]="Encadrement")*(RDP_Effectif[[Prestation]:[Prestation]]=$B25)*(_xlfn.XLOOKUP(RDP_Effectif[[Carrière]:[Carrière]],Table4[[Carrière]:[Carrière]],Table4[[Equivalent carrière]:[Equivalent carrière]])="C7"))</f>
        <v>#N/A</v>
      </c>
      <c r="F25" s="65" t="e">
        <f t="shared" si="12"/>
        <v>#N/A</v>
      </c>
      <c r="R25" s="560" t="s">
        <v>596</v>
      </c>
      <c r="S25" s="560"/>
      <c r="T25" s="561"/>
      <c r="U25" s="561"/>
      <c r="V25" s="561"/>
    </row>
    <row r="26" spans="1:22" x14ac:dyDescent="0.3">
      <c r="A26" t="s">
        <v>463</v>
      </c>
      <c r="B26" s="441" t="s">
        <v>13</v>
      </c>
      <c r="C26" s="65" cm="1">
        <f t="array" ref="C26">SUM((RDP_Effectif[ETP moyen annuel])*(RDP_Effectif[Affectation]="Encadrement")*(RDP_Effectif[Prestation]=$B26))*70%</f>
        <v>0</v>
      </c>
      <c r="D26" s="65" cm="1">
        <f t="array" ref="D26">IF('F2 - Facturation H'!$Q$1="","",
IF('F2 - Facturation H'!$Q$1&lt;SUM((Table6[Efficience min])*(Table6[Activité]=$B26)),$C26*'F2 - Facturation H'!$Q$1/SUM((Table6[Efficience min])*(Table6[Activité]=$B26)),
IF('F2 - Facturation H'!$Q$1&gt;SUM((Table6[Efficience max])*(Table6[Activité]=$B26)),$C26*'F2 - Facturation H'!$Q$1/SUM((Table6[Efficience max])*(Table6[Activité]=$B26)),$C26)))</f>
        <v>0</v>
      </c>
      <c r="E26" s="65" t="e" cm="1">
        <f t="array" ref="E26">SUM((RDP_Effectif[[ETP moyen annuel]:[ETP moyen annuel]])*(RDP_Effectif[[Affectation]:[Affectation]]="Encadrement")*(RDP_Effectif[[Prestation]:[Prestation]]=$B26)*(_xlfn.XLOOKUP(RDP_Effectif[[Carrière]:[Carrière]],Table4[[Carrière]:[Carrière]],Table4[[Equivalent carrière]:[Equivalent carrière]])="C6"))+
SUM((RDP_Effectif[[ETP moyen annuel]:[ETP moyen annuel]])*(RDP_Effectif[[Affectation]:[Affectation]]="Encadrement")*(RDP_Effectif[[Prestation]:[Prestation]]=$B26)*(_xlfn.XLOOKUP(RDP_Effectif[[Carrière]:[Carrière]],Table4[[Carrière]:[Carrière]],Table4[[Equivalent carrière]:[Equivalent carrière]])="C7"))</f>
        <v>#N/A</v>
      </c>
      <c r="F26" s="65" t="e">
        <f t="shared" si="12"/>
        <v>#N/A</v>
      </c>
      <c r="N26" s="96" t="s">
        <v>313</v>
      </c>
      <c r="R26" s="560"/>
      <c r="S26" s="560"/>
      <c r="T26" s="561"/>
      <c r="U26" s="561"/>
      <c r="V26" s="561"/>
    </row>
    <row r="27" spans="1:22" x14ac:dyDescent="0.3">
      <c r="A27" t="s">
        <v>464</v>
      </c>
      <c r="B27" s="441" t="s">
        <v>15</v>
      </c>
      <c r="C27" s="65" cm="1">
        <f t="array" ref="C27">SUM((RDP_Effectif[ETP moyen annuel])*(RDP_Effectif[Affectation]="Encadrement")*(RDP_Effectif[Prestation]=$B27))</f>
        <v>0</v>
      </c>
      <c r="D27" s="65" cm="1">
        <f t="array" ref="D27">IF('F2 - Facturation H'!$Q$1="","",
IF('F2 - Facturation H'!$Q$1&lt;SUM((Table6[Efficience min])*(Table6[Activité]=$B27)),$C27*'F2 - Facturation H'!$Q$1/SUM((Table6[Efficience min])*(Table6[Activité]=$B27)),
IF('F2 - Facturation H'!$Q$1&gt;SUM((Table6[Efficience max])*(Table6[Activité]=$B27)),$C27*'F2 - Facturation H'!$Q$1/SUM((Table6[Efficience max])*(Table6[Activité]=$B27)),$C27)))</f>
        <v>0</v>
      </c>
      <c r="E27" s="65" t="e" cm="1">
        <f t="array" ref="E27">SUM((RDP_Effectif[[ETP moyen annuel]:[ETP moyen annuel]])*(RDP_Effectif[[Affectation]:[Affectation]]="Encadrement")*(RDP_Effectif[[Prestation]:[Prestation]]=$B27)*(_xlfn.XLOOKUP(RDP_Effectif[[Carrière]:[Carrière]],Table4[[Carrière]:[Carrière]],Table4[[Equivalent carrière]:[Equivalent carrière]])="C7"))</f>
        <v>#N/A</v>
      </c>
      <c r="F27" s="65" t="e">
        <f t="shared" si="12"/>
        <v>#N/A</v>
      </c>
      <c r="N27" s="96" t="s">
        <v>314</v>
      </c>
    </row>
    <row r="28" spans="1:22" x14ac:dyDescent="0.3">
      <c r="A28" t="s">
        <v>465</v>
      </c>
      <c r="B28" s="441">
        <v>11</v>
      </c>
      <c r="C28" s="65" cm="1">
        <f t="array" ref="C28">SUM((RDP_Effectif[ETP moyen annuel])*(RDP_Effectif[Affectation]="Encadrement")*(RDP_Effectif[Prestation]=$B28))</f>
        <v>0</v>
      </c>
      <c r="D28" s="65" cm="1">
        <f t="array" ref="D28">IF('F2 - Facturation H'!$Q$1="","",
IF('F2 - Facturation H'!$Q$1&lt;SUM((Table6[Efficience min])*(Table6[Activité]=$B28)),$C28*'F2 - Facturation H'!$Q$1/SUM((Table6[Efficience min])*(Table6[Activité]=$B28)),
IF('F2 - Facturation H'!$Q$1&gt;SUM((Table6[Efficience max])*(Table6[Activité]=$B28)),$C28*'F2 - Facturation H'!$Q$1/SUM((Table6[Efficience max])*(Table6[Activité]=$B28)),$C28)))</f>
        <v>0</v>
      </c>
      <c r="E28" s="65" t="e" cm="1">
        <f t="array" ref="E28">SUM((RDP_Effectif[[ETP moyen annuel]:[ETP moyen annuel]])*(RDP_Effectif[[Affectation]:[Affectation]]="Encadrement")*(RDP_Effectif[[Prestation]:[Prestation]]=$B28)*(_xlfn.XLOOKUP(RDP_Effectif[[Carrière]:[Carrière]],Table4[[Carrière]:[Carrière]],Table4[[Equivalent carrière]:[Equivalent carrière]])="C6"))+
SUM((RDP_Effectif[[ETP moyen annuel]:[ETP moyen annuel]])*(RDP_Effectif[[Affectation]:[Affectation]]="Encadrement")*(RDP_Effectif[[Prestation]:[Prestation]]=$B28)*(_xlfn.XLOOKUP(RDP_Effectif[[Carrière]:[Carrière]],Table4[[Carrière]:[Carrière]],Table4[[Equivalent carrière]:[Equivalent carrière]])="C7"))</f>
        <v>#N/A</v>
      </c>
      <c r="F28" s="65" t="e">
        <f t="shared" si="12"/>
        <v>#N/A</v>
      </c>
    </row>
    <row r="29" spans="1:22" ht="15" thickBot="1" x14ac:dyDescent="0.35">
      <c r="H29" t="s">
        <v>484</v>
      </c>
      <c r="I29" s="130" t="e">
        <f>IF(AND(F23&gt;0,J23&gt;0,F23&gt;J23),J23,
IF(AND(F23&gt;0,J23&gt;0,F23&lt;=J23),F23,0))</f>
        <v>#N/A</v>
      </c>
      <c r="J29" s="65" t="e">
        <f>IF(H23=0,G23-I23-I29,H23-I23-I29)</f>
        <v>#N/A</v>
      </c>
    </row>
    <row r="30" spans="1:22" ht="15" thickBot="1" x14ac:dyDescent="0.35">
      <c r="B30" s="553" t="s">
        <v>472</v>
      </c>
      <c r="C30" s="554"/>
      <c r="D30" s="558" t="str">
        <f>IF('F0 - Générales'!$B$6="Horaire",IF(OR(F23&gt;0,J23&lt;0,F24&gt;0,F25&gt;0,F26&gt;0,F27&gt;0,F28&gt;0),"Non réussi","Réussi"),"Pas concerné")</f>
        <v>Pas concerné</v>
      </c>
      <c r="E30" s="559"/>
    </row>
    <row r="31" spans="1:22" ht="15" thickBot="1" x14ac:dyDescent="0.35">
      <c r="B31" s="553" t="s">
        <v>483</v>
      </c>
      <c r="C31" s="554"/>
      <c r="D31" s="555" t="e" cm="1">
        <f t="array" ref="D31">IFERROR(IF(AND(F23&gt;0,J23&lt;0),
IF(SUMIFS(Data!$BU:$BU,Data!$BP:$BP,'F0 - Générales'!$B$7,Data!$BQ:$BQ,"C4")=0,
SUMIFS(Data!$CA:$CA,Data!$BW:$BW,"C4"),
SUMIFS(Data!$BU:$BU,Data!$BP:$BP,'F0 - Générales'!$B$7,Data!$BQ:$BQ,"C4"))*F23-SUM((RDP_Effectif[Coût salaire annuel])*(RDP_Effectif[Affectation]="Encadrement")*(RDP_Effectif[Prestation]=$B23)*(_xlfn.XLOOKUP(RDP_Effectif[Carrière],Table7[Carrière],Table7[Niveau qualification])="Non qualifié"))/SUM((RDP_Effectif[ETP moyen annuel])*(RDP_Effectif[Affectation]="Encadrement")*(RDP_Effectif[Prestation]=$B23)*(_xlfn.XLOOKUP(RDP_Effectif[Carrière],Table7[Carrière],Table7[Niveau qualification])="Non qualifié"))*F23,
IF(AND(F23&gt;0,J23&gt;0,F23&gt;J23),
J23*IF(SUMIFS(Data!$BU:$BU,Data!$BP:$BP,'F0 - Générales'!$B$7,Data!$BQ:$BQ,"C2 qualifié")=0,
SUMIFS(Data!$CA:$CA,Data!$BW:$BW,"C2 qualifié"),
SUMIFS(Data!$BU:$BU,Data!$BP:$BP,'F0 - Générales'!$B$7,Data!$BQ:$BQ,"C2 qualifié"))+
(F23-J23)*IF(SUMIFS(Data!$BU:$BU,Data!$BP:$BP,'F0 - Générales'!$B$7,Data!$BQ:$BQ,"C4")=0,
SUMIFS(Data!$CA:$CA,Data!$BW:$BW,"C4"),
SUMIFS(Data!$BU:$BU,Data!$BP:$BP,'F0 - Générales'!$B$7,Data!$BQ:$BQ,"C4")),
IF(AND(F23&gt;0,J23&gt;0,F23&lt;=J23),F23*IF(SUMIFS(Data!$BU:$BU,Data!$BP:$BP,'F0 - Générales'!$B$7,Data!$BQ:$BQ,"C2 qualifié")=0,
SUMIFS(Data!$CA:$CA,Data!$BW:$BW,"C2 qualifié"),
SUMIFS(Data!$BU:$BU,Data!$BP:$BP,'F0 - Générales'!$B$7,Data!$BQ:$BQ,"C2 qualifié")),0))),0)
+
IFERROR(IF(AND(F23&lt;0,F23&lt;J23),J23*
(SUM((RDP_Effectif[Coût salaire annuel])*(RDP_Effectif[Affectation]="Encadrement")*(RDP_Effectif[Prestation]=$B23)*(_xlfn.XLOOKUP(RDP_Effectif[Carrière],Table7[Carrière],Table7[Niveau qualification])="ASF et aux. de vie"))/SUM((RDP_Effectif[ETP moyen annuel])*(RDP_Effectif[Affectation]="Encadrement")*(RDP_Effectif[Prestation]=$B23)*(_xlfn.XLOOKUP(RDP_Effectif[Carrière],Table7[Carrière],Table7[Niveau qualification])="ASF et aux. de vie"))-IF(SUMIFS(Data!$BU:$BU,Data!$BP:$BP,'F0 - Générales'!$B$7,Data!$BQ:$BQ,"C1")=0,
SUMIFS(Data!$CA:$CA,Data!$BW:$BW,"C1"),
SUMIFS(Data!$BU:$BU,Data!$BP:$BP,'F0 - Générales'!$B$7,Data!$BQ:$BQ,"C1"))),
IF(AND(F23&lt;0,F23&gt;J23),F23*
(SUM((RDP_Effectif[Coût salaire annuel])*(RDP_Effectif[Affectation]="Encadrement")*(RDP_Effectif[Prestation]=$B23)*(_xlfn.XLOOKUP(RDP_Effectif[Carrière],Table7[Carrière],Table7[Niveau qualification])="ASF et aux. de vie"))/SUM((RDP_Effectif[ETP moyen annuel])*(RDP_Effectif[Affectation]="Encadrement")*(RDP_Effectif[Prestation]=$B23)*(_xlfn.XLOOKUP(RDP_Effectif[Carrière],Table7[Carrière],Table7[Niveau qualification])="ASF et aux. de vie"))-IF(SUMIFS(Data!$BU:$BU,Data!$BP:$BP,'F0 - Générales'!$B$7,Data!$BQ:$BQ,"C1")=0,
SUMIFS(Data!$CA:$CA,Data!$BW:$BW,"C1"),
SUMIFS(Data!$BU:$BU,Data!$BP:$BP,'F0 - Générales'!$B$7,Data!$BQ:$BQ,"C1")))+(F23-J23)*(IF(SUMIFS(Data!$BU:$BU,Data!$BP:$BP,'F0 - Générales'!$B$7,Data!$BQ:$BQ,"C4")=0,
SUMIFS(Data!$CA:$CA,Data!$BW:$BW,"C4"),
SUMIFS(Data!$BU:$BU,Data!$BP:$BP,'F0 - Générales'!$B$7,Data!$BQ:$BQ,"C4"))-(SUM((RDP_Effectif[Coût salaire annuel])*(RDP_Effectif[Affectation]="Encadrement")*(RDP_Effectif[Prestation]=$B23)*(_xlfn.XLOOKUP(RDP_Effectif[Carrière],Table7[Carrière],Table7[Niveau qualification])="ASF et aux. de vie"))/SUM((RDP_Effectif[ETP moyen annuel])*(RDP_Effectif[Affectation]="Encadrement")*(RDP_Effectif[Prestation]=$B23)*(_xlfn.XLOOKUP(RDP_Effectif[Carrière],Table7[Carrière],Table7[Niveau qualification])="ASF et aux. de vie")))),
-J29*IF(SUMIFS(Data!$BU:$BU,Data!$BP:$BP,'F0 - Générales'!$B$7,Data!$BQ:$BQ,"C4")=0,
SUMIFS(Data!$CA:$CA,Data!$BW:$BW,"C4"),
SUMIFS(Data!$BU:$BU,Data!$BP:$BP,'F0 - Générales'!$B$7,Data!$BQ:$BQ,"C4"))-
-J29*SUM((RDP_Effectif[Coût salaire annuel])*(RDP_Effectif[Affectation]="Encadrement")*(RDP_Effectif[Prestation]=$B23)*(_xlfn.XLOOKUP(RDP_Effectif[Carrière],Table7[Carrière],Table7[Niveau qualification])="ASF et aux. de vie"))/SUM((RDP_Effectif[ETP moyen annuel])*(RDP_Effectif[Affectation]="Encadrement")*(RDP_Effectif[Prestation]=$B23)*(_xlfn.XLOOKUP(RDP_Effectif[Carrière],Table7[Carrière],Table7[Niveau qualification])="ASF et aux. de vie")))),0)
+
IF($F24&gt;0,
(IF(SUMIFS(Data!$BU:$BU,Data!$BP:$BP,'F0 - Générales'!$B$7,Data!$BQ:$BQ,"C6")=0,
SUMIFS(Data!$CA:$CA,Data!$BW:$BW,"C6"),
SUMIFS(Data!$BU:$BU,Data!$BP:$BP,'F0 - Générales'!$B$7,Data!$BQ:$BQ,"C6"))-
SUM((RDP_Effectif[Coût salaire annuel])*(RDP_Effectif[Affectation]="Encadrement")*(RDP_Effectif[Prestation]=$B24)*(_xlfn.XLOOKUP(RDP_Effectif[Carrière],Table4[Carrière],Table4[Equivalent carrière])&lt;&gt;"C7")*(_xlfn.XLOOKUP(RDP_Effectif[Carrière],Table4[Carrière],Table4[Equivalent carrière])&lt;&gt;"C6"))/SUM((RDP_Effectif[ETP moyen annuel])*(RDP_Effectif[Affectation]="Encadrement")*(RDP_Effectif[Prestation]=$B24)*(_xlfn.XLOOKUP(RDP_Effectif[Carrière],Table4[Carrière],Table4[Equivalent carrière])&lt;&gt;"C7")*(_xlfn.XLOOKUP(RDP_Effectif[Carrière],Table4[Carrière],Table4[Equivalent carrière])&lt;&gt;"C6")))*$F24,0)+
IF($F25&gt;0,
(IF(SUMIFS(Data!$BU:$BU,Data!$BP:$BP,'F0 - Générales'!$B$7,Data!$BQ:$BQ,"C6")=0,
SUMIFS(Data!$CA:$CA,Data!$BW:$BW,"C6"),
SUMIFS(Data!$BU:$BU,Data!$BP:$BP,'F0 - Générales'!$B$7,Data!$BQ:$BQ,"C6"))-
SUM((RDP_Effectif[Coût salaire annuel])*(RDP_Effectif[Affectation]="Encadrement")*(RDP_Effectif[Prestation]=$B25)*(_xlfn.XLOOKUP(RDP_Effectif[Carrière],Table4[Carrière],Table4[Equivalent carrière])&lt;&gt;"C7")*(_xlfn.XLOOKUP(RDP_Effectif[Carrière],Table4[Carrière],Table4[Equivalent carrière])&lt;&gt;"C6"))/SUM((RDP_Effectif[ETP moyen annuel])*(RDP_Effectif[Affectation]="Encadrement")*(RDP_Effectif[Prestation]=$B25)*(_xlfn.XLOOKUP(RDP_Effectif[Carrière],Table4[Carrière],Table4[Equivalent carrière])&lt;&gt;"C7")*(_xlfn.XLOOKUP(RDP_Effectif[Carrière],Table4[Carrière],Table4[Equivalent carrière])&lt;&gt;"C6")))*$F25,0)+
IF($F26&gt;0,
(IF(SUMIFS(Data!$BU:$BU,Data!$BP:$BP,'F0 - Générales'!$B$7,Data!$BQ:$BQ,"C6")=0,
SUMIFS(Data!$CA:$CA,Data!$BW:$BW,"C6"),
SUMIFS(Data!$BU:$BU,Data!$BP:$BP,'F0 - Générales'!$B$7,Data!$BQ:$BQ,"C6"))-
SUM((RDP_Effectif[Coût salaire annuel])*(RDP_Effectif[Affectation]="Encadrement")*(RDP_Effectif[Prestation]=$B26)*(_xlfn.XLOOKUP(RDP_Effectif[Carrière],Table4[Carrière],Table4[Equivalent carrière])&lt;&gt;"C7")*(_xlfn.XLOOKUP(RDP_Effectif[Carrière],Table4[Carrière],Table4[Equivalent carrière])&lt;&gt;"C6"))/SUM((RDP_Effectif[ETP moyen annuel])*(RDP_Effectif[Affectation]="Encadrement")*(RDP_Effectif[Prestation]=$B26)*(_xlfn.XLOOKUP(RDP_Effectif[Carrière],Table4[Carrière],Table4[Equivalent carrière])&lt;&gt;"C7")*(_xlfn.XLOOKUP(RDP_Effectif[Carrière],Table4[Carrière],Table4[Equivalent carrière])&lt;&gt;"C6")))*$F26,0)+
IF($F27&gt;0,
IFERROR((IF(SUMIFS(Data!$BU:$BU,Data!$BP:$BP,'F0 - Générales'!$B$7,Data!$BQ:$BQ,"C7")=0,
SUMIFS(Data!$CA:$CA,Data!$BW:$BW,"C7"),
SUMIFS(Data!$BU:$BU,Data!$BP:$BP,'F0 - Générales'!$B$7,Data!$BQ:$BQ,"C7"))-
SUM((RDP_Effectif[Coût salaire annuel])*(RDP_Effectif[Affectation]="Encadrement")*(RDP_Effectif[Prestation]=$B27)*(_xlfn.XLOOKUP(RDP_Effectif[Carrière],Table4[Carrière],Table4[Equivalent carrière])&lt;&gt;"C7"))/SUM((RDP_Effectif[ETP moyen annuel])*(RDP_Effectif[Affectation]="Encadrement")*(RDP_Effectif[Prestation]=$B27)*(_xlfn.XLOOKUP(RDP_Effectif[Carrière],Table4[Carrière],Table4[Equivalent carrière])&lt;&gt;"C7")))*$F27,
IF(SUMIFS(Data!$BU:$BU,Data!$BP:$BP,'F0 - Générales'!$B$7,Data!$BQ:$BQ,"C7")=0,
SUMIFS(Data!$CA:$CA,Data!$BW:$BW,"C7"),
SUMIFS(Data!$BU:$BU,Data!$BP:$BP,'F0 - Générales'!$B$7,Data!$BQ:$BQ,"C7"))*$F27),0)+
IF($F28&gt;0,
(IF(SUMIFS(Data!$BU:$BU,Data!$BP:$BP,'F0 - Générales'!$B$7,Data!$BQ:$BQ,"C6")=0,
SUMIFS(Data!$CA:$CA,Data!$BW:$BW,"C6"),
SUMIFS(Data!$BU:$BU,Data!$BP:$BP,'F0 - Générales'!$B$7,Data!$BQ:$BQ,"C6"))-
SUM((RDP_Effectif[Coût salaire annuel])*(RDP_Effectif[Affectation]="Encadrement")*(RDP_Effectif[Prestation]=$B28)*(_xlfn.XLOOKUP(RDP_Effectif[Carrière],Table4[Carrière],Table4[Equivalent carrière])&lt;&gt;"C7")*(_xlfn.XLOOKUP(RDP_Effectif[Carrière],Table4[Carrière],Table4[Equivalent carrière])&lt;&gt;"C6"))/SUM((RDP_Effectif[ETP moyen annuel])*(RDP_Effectif[Affectation]="Encadrement")*(RDP_Effectif[Prestation]=$B28)*(_xlfn.XLOOKUP(RDP_Effectif[Carrière],Table4[Carrière],Table4[Equivalent carrière])&lt;&gt;"C7")*(_xlfn.XLOOKUP(RDP_Effectif[Carrière],Table4[Carrière],Table4[Equivalent carrière])&lt;&gt;"C6")))*$F28,0)</f>
        <v>#N/A</v>
      </c>
      <c r="E31" s="556"/>
      <c r="G31" s="136"/>
      <c r="J31" s="21"/>
    </row>
  </sheetData>
  <sheetProtection algorithmName="SHA-512" hashValue="Zqekopjrk2x/qIIhNyn46efrzs6LF+p2+l1TfXCM8qfdySRFwEk4k6LOU7wW4zosBzse32hGn/kNsPzvRbPIWA==" saltValue="zOJsmIU2jktn5YVN6JcxVg==" spinCount="100000" sheet="1" objects="1" scenarios="1"/>
  <mergeCells count="14">
    <mergeCell ref="B31:C31"/>
    <mergeCell ref="D31:E31"/>
    <mergeCell ref="B19:C19"/>
    <mergeCell ref="D19:E19"/>
    <mergeCell ref="A2:B2"/>
    <mergeCell ref="B17:C17"/>
    <mergeCell ref="D17:E17"/>
    <mergeCell ref="B18:C18"/>
    <mergeCell ref="D18:E18"/>
    <mergeCell ref="R25:S26"/>
    <mergeCell ref="T25:V26"/>
    <mergeCell ref="A21:B21"/>
    <mergeCell ref="B30:C30"/>
    <mergeCell ref="D30:E30"/>
  </mergeCells>
  <conditionalFormatting sqref="D17:D19">
    <cfRule type="containsText" dxfId="47" priority="23" operator="containsText" text="Non réussi">
      <formula>NOT(ISERROR(SEARCH("Non réussi",D17)))</formula>
    </cfRule>
    <cfRule type="containsText" dxfId="46" priority="24" operator="containsText" text="Réussi">
      <formula>NOT(ISERROR(SEARCH("Réussi",D17)))</formula>
    </cfRule>
  </conditionalFormatting>
  <conditionalFormatting sqref="D30:D31">
    <cfRule type="containsText" dxfId="45" priority="15" operator="containsText" text="Non réussi">
      <formula>NOT(ISERROR(SEARCH("Non réussi",D30)))</formula>
    </cfRule>
    <cfRule type="containsText" dxfId="44" priority="16" operator="containsText" text="Réussi">
      <formula>NOT(ISERROR(SEARCH("Réussi",D30)))</formula>
    </cfRule>
  </conditionalFormatting>
  <conditionalFormatting sqref="D17:E19">
    <cfRule type="containsText" dxfId="43" priority="20" operator="containsText" text="Pas concerné">
      <formula>NOT(ISERROR(SEARCH("Pas concerné",D17)))</formula>
    </cfRule>
  </conditionalFormatting>
  <conditionalFormatting sqref="D19:E19">
    <cfRule type="cellIs" dxfId="42" priority="19" operator="greaterThan">
      <formula>0</formula>
    </cfRule>
  </conditionalFormatting>
  <conditionalFormatting sqref="D30:E31">
    <cfRule type="containsText" dxfId="41" priority="14" operator="containsText" text="Pas concerné">
      <formula>NOT(ISERROR(SEARCH("Pas concerné",D30)))</formula>
    </cfRule>
  </conditionalFormatting>
  <conditionalFormatting sqref="D31:E31">
    <cfRule type="cellIs" dxfId="40" priority="13" operator="greaterThan">
      <formula>0</formula>
    </cfRule>
  </conditionalFormatting>
  <conditionalFormatting sqref="E10">
    <cfRule type="cellIs" dxfId="39" priority="37" operator="greaterThan">
      <formula>0</formula>
    </cfRule>
    <cfRule type="cellIs" dxfId="38" priority="38" operator="lessThan">
      <formula>0</formula>
    </cfRule>
  </conditionalFormatting>
  <conditionalFormatting sqref="E12:E15">
    <cfRule type="cellIs" dxfId="37" priority="5" operator="greaterThan">
      <formula>0</formula>
    </cfRule>
    <cfRule type="cellIs" dxfId="36" priority="6" operator="lessThan">
      <formula>0</formula>
    </cfRule>
  </conditionalFormatting>
  <conditionalFormatting sqref="F23:F28">
    <cfRule type="cellIs" dxfId="35" priority="25" operator="lessThanOrEqual">
      <formula>0</formula>
    </cfRule>
    <cfRule type="cellIs" dxfId="34" priority="26" operator="greaterThan">
      <formula>0</formula>
    </cfRule>
  </conditionalFormatting>
  <conditionalFormatting sqref="H10">
    <cfRule type="cellIs" dxfId="33" priority="35" operator="greaterThan">
      <formula>0</formula>
    </cfRule>
    <cfRule type="cellIs" dxfId="32" priority="36" operator="lessThan">
      <formula>0</formula>
    </cfRule>
  </conditionalFormatting>
  <conditionalFormatting sqref="H16">
    <cfRule type="cellIs" dxfId="31" priority="3" operator="greaterThan">
      <formula>0</formula>
    </cfRule>
    <cfRule type="cellIs" dxfId="30" priority="4" operator="lessThan">
      <formula>0</formula>
    </cfRule>
  </conditionalFormatting>
  <conditionalFormatting sqref="J23">
    <cfRule type="cellIs" dxfId="29" priority="21" operator="greaterThanOrEqual">
      <formula>0</formula>
    </cfRule>
    <cfRule type="cellIs" dxfId="28" priority="22" operator="lessThan">
      <formula>0</formula>
    </cfRule>
  </conditionalFormatting>
  <conditionalFormatting sqref="J29">
    <cfRule type="cellIs" dxfId="27" priority="17" operator="greaterThanOrEqual">
      <formula>0</formula>
    </cfRule>
    <cfRule type="cellIs" dxfId="26" priority="18" operator="lessThan">
      <formula>0</formula>
    </cfRule>
  </conditionalFormatting>
  <conditionalFormatting sqref="K10">
    <cfRule type="cellIs" dxfId="25" priority="33" operator="greaterThan">
      <formula>0</formula>
    </cfRule>
    <cfRule type="cellIs" dxfId="24" priority="34" operator="lessThan">
      <formula>0</formula>
    </cfRule>
  </conditionalFormatting>
  <conditionalFormatting sqref="Q10">
    <cfRule type="cellIs" dxfId="23" priority="27" operator="lessThan">
      <formula>0</formula>
    </cfRule>
    <cfRule type="cellIs" dxfId="22" priority="28" operator="greaterThan">
      <formula>0</formula>
    </cfRule>
  </conditionalFormatting>
  <conditionalFormatting sqref="T10">
    <cfRule type="cellIs" dxfId="21" priority="29" operator="lessThan">
      <formula>0</formula>
    </cfRule>
    <cfRule type="cellIs" dxfId="20" priority="30" operator="greaterThan">
      <formula>0</formula>
    </cfRule>
  </conditionalFormatting>
  <conditionalFormatting sqref="X4">
    <cfRule type="cellIs" dxfId="19" priority="1" operator="lessThan">
      <formula>0</formula>
    </cfRule>
    <cfRule type="cellIs" dxfId="18" priority="2" operator="greaterThan">
      <formula>0</formula>
    </cfRule>
  </conditionalFormatting>
  <pageMargins left="0.70866141732283472" right="0.70866141732283472" top="0.74803149606299213" bottom="0.74803149606299213" header="0.31496062992125984" footer="0.31496062992125984"/>
  <pageSetup paperSize="9" scale="64" orientation="landscape" r:id="rId1"/>
  <headerFooter>
    <oddFooter>&amp;L&amp;Z&amp;F
&amp;D&amp;T&amp;R&amp;P/&amp;N</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10FA3-F88A-4F38-920C-4D5765A06B6A}">
  <sheetPr>
    <tabColor theme="5" tint="0.39997558519241921"/>
  </sheetPr>
  <dimension ref="A1:R12"/>
  <sheetViews>
    <sheetView workbookViewId="0">
      <selection activeCell="I21" sqref="I21"/>
    </sheetView>
  </sheetViews>
  <sheetFormatPr defaultRowHeight="14.4" x14ac:dyDescent="0.3"/>
  <cols>
    <col min="1" max="1" width="6.6640625" customWidth="1"/>
    <col min="2" max="2" width="13.33203125" bestFit="1" customWidth="1"/>
    <col min="3" max="18" width="9.33203125" customWidth="1"/>
    <col min="19" max="19" width="9.109375" customWidth="1"/>
  </cols>
  <sheetData>
    <row r="1" spans="1:18" ht="21" x14ac:dyDescent="0.4">
      <c r="A1" s="153" t="s">
        <v>512</v>
      </c>
    </row>
    <row r="2" spans="1:18" ht="15.6" x14ac:dyDescent="0.3">
      <c r="A2" s="557" t="s">
        <v>408</v>
      </c>
      <c r="B2" s="557"/>
      <c r="C2" s="96"/>
      <c r="D2" s="96"/>
      <c r="E2" s="96"/>
      <c r="F2" s="96"/>
      <c r="G2" s="96" t="s">
        <v>467</v>
      </c>
      <c r="I2" s="96"/>
      <c r="J2" s="96" t="s">
        <v>466</v>
      </c>
      <c r="K2" s="96"/>
      <c r="L2" s="96"/>
      <c r="M2" s="96" t="s">
        <v>70</v>
      </c>
      <c r="N2" s="96"/>
      <c r="O2" s="96"/>
      <c r="P2" s="96" t="s">
        <v>443</v>
      </c>
      <c r="Q2" s="96"/>
      <c r="R2" s="439" t="e">
        <f>SUM(R4:R9)</f>
        <v>#N/A</v>
      </c>
    </row>
    <row r="3" spans="1:18" ht="43.2" x14ac:dyDescent="0.3">
      <c r="A3" s="432" t="s">
        <v>425</v>
      </c>
      <c r="B3" s="432" t="s">
        <v>432</v>
      </c>
      <c r="C3" s="428" t="s">
        <v>434</v>
      </c>
      <c r="D3" s="428" t="s">
        <v>435</v>
      </c>
      <c r="E3" s="428" t="s">
        <v>436</v>
      </c>
      <c r="F3" s="429" t="s">
        <v>473</v>
      </c>
      <c r="G3" s="429" t="s">
        <v>474</v>
      </c>
      <c r="H3" s="429" t="s">
        <v>475</v>
      </c>
      <c r="I3" s="430" t="s">
        <v>447</v>
      </c>
      <c r="J3" s="430" t="s">
        <v>448</v>
      </c>
      <c r="K3" s="430" t="s">
        <v>449</v>
      </c>
      <c r="L3" s="429" t="s">
        <v>444</v>
      </c>
      <c r="M3" s="429" t="s">
        <v>445</v>
      </c>
      <c r="N3" s="429" t="s">
        <v>446</v>
      </c>
      <c r="O3" s="430" t="s">
        <v>440</v>
      </c>
      <c r="P3" s="430" t="s">
        <v>441</v>
      </c>
      <c r="Q3" s="430" t="s">
        <v>442</v>
      </c>
      <c r="R3" s="433" t="s">
        <v>450</v>
      </c>
    </row>
    <row r="4" spans="1:18" x14ac:dyDescent="0.3">
      <c r="A4" t="s">
        <v>426</v>
      </c>
      <c r="B4" t="s">
        <v>340</v>
      </c>
      <c r="C4" s="65">
        <f>(SUMIFS('F2 - Facturation J'!$E:$E,'F2 - Facturation J'!$B:$B,$B4)/Data!$B$5*SUMIFS(Data!$AI$4:$AI$18,Data!$AB$4:$AB$18,$B4)+
SUMIFS('F2 - Facturation J'!$E:$E,'F2 - Facturation J'!$B:$B,$B4)/Data!$B$5*SUMIFS(Data!$AJ$4:$AJ$18,Data!$AB$4:$AB$18,$B4))-
(SUMIFS('F2 - Facturation J'!$E:$E,'F2 - Facturation J'!$B:$B,$B4)/Data!$B$5*SUMIFS(Data!$AI$4:$AI$18,Data!$AB$4:$AB$18,$B4)+
SUMIFS('F2 - Facturation J'!$E:$E,'F2 - Facturation J'!$B:$B,$B4)/Data!$B$5*SUMIFS(Data!$AJ$4:$AJ$18,Data!$AB$4:$AB$18,$B4))*0.1*80/Data!$B$5</f>
        <v>0</v>
      </c>
      <c r="D4" s="65" cm="1">
        <f t="array" ref="D4">SUM((RDP_Effectif[ETP après déduction des h de maladie])*(RDP_Effectif[Affectation]="Encadrement")*(RDP_Effectif[Prestation]=$B4))</f>
        <v>0</v>
      </c>
      <c r="E4" s="508">
        <v>0</v>
      </c>
      <c r="F4" s="65">
        <f>$C4*20%</f>
        <v>0</v>
      </c>
      <c r="G4" s="65" t="e" cm="1">
        <f t="array" ref="G4">SUM((RDP_Effectif[ETP après déduction des h de maladie])*(RDP_Effectif[Affectation]="Encadrement")*(RDP_Effectif[Prestation]=$B4)*(_xlfn.XLOOKUP(RDP_Effectif[Carrière],Table7[Carrière],Table7[Niveau qualification])="Non qualifié"))</f>
        <v>#N/A</v>
      </c>
      <c r="H4" s="65" t="e">
        <f>G4-F4</f>
        <v>#N/A</v>
      </c>
      <c r="I4" s="65">
        <f>$C4*80%*20%</f>
        <v>0</v>
      </c>
      <c r="J4" s="65" t="e" cm="1">
        <f t="array" ref="J4">SUM((RDP_Effectif[ETP après déduction des h de maladie])*(RDP_Effectif[Affectation]="Encadrement")*(RDP_Effectif[Prestation]=$B4)*(_xlfn.XLOOKUP(RDP_Effectif[Carrière],Table7[Carrière],Table7[Niveau qualification])="ASF et aux. de vie"))</f>
        <v>#N/A</v>
      </c>
      <c r="K4" s="65" t="e">
        <f t="shared" ref="K4:K8" si="0">J4-I4</f>
        <v>#N/A</v>
      </c>
      <c r="L4" s="508">
        <v>0</v>
      </c>
      <c r="M4" s="65" t="e" cm="1">
        <f t="array" ref="M4">SUM((RDP_Effectif[ETP après déduction des h de maladie])*(RDP_Effectif[Affectation]="Encadrement")*(RDP_Effectif[Prestation]=$B4)*(_xlfn.XLOOKUP(RDP_Effectif[Carrière],Table7[Carrière],Table7[Niveau qualification])="Secondaire"))</f>
        <v>#N/A</v>
      </c>
      <c r="N4" s="508">
        <v>0</v>
      </c>
      <c r="O4" s="65">
        <f>$C4*80%*33%</f>
        <v>0</v>
      </c>
      <c r="P4" s="65" t="e" cm="1">
        <f t="array" ref="P4">SUM((RDP_Effectif[ETP après déduction des h de maladie])*(RDP_Effectif[Affectation]="Encadrement")*(RDP_Effectif[Prestation]=$B4)*(_xlfn.XLOOKUP(RDP_Effectif[Carrière],Table7[Carrière],Table7[Niveau qualification])="Post-secondaire"))</f>
        <v>#N/A</v>
      </c>
      <c r="Q4" s="65" t="e">
        <f t="shared" ref="Q4:Q9" si="1">P4-O4</f>
        <v>#N/A</v>
      </c>
      <c r="R4" s="431" t="e">
        <f>+D4-P4-M4-J4-G4</f>
        <v>#N/A</v>
      </c>
    </row>
    <row r="5" spans="1:18" x14ac:dyDescent="0.3">
      <c r="A5" t="s">
        <v>427</v>
      </c>
      <c r="B5" t="s">
        <v>237</v>
      </c>
      <c r="C5" s="65">
        <f>(SUMIFS('F2 - Facturation J'!$E:$E,'F2 - Facturation J'!$B:$B,$B5)/Data!$B$5*SUMIFS(Data!$AI$4:$AI$18,Data!$AB$4:$AB$18,$B5)+
SUMIFS('F2 - Facturation J'!$E:$E,'F2 - Facturation J'!$B:$B,$B5)/Data!$B$5*SUMIFS(Data!$AJ$4:$AJ$18,Data!$AB$4:$AB$18,$B5))-
(SUMIFS('F2 - Facturation J'!$E:$E,'F2 - Facturation J'!$B:$B,$B5)/Data!$B$5*SUMIFS(Data!$AI$4:$AI$18,Data!$AB$4:$AB$18,$B5)+
SUMIFS('F2 - Facturation J'!$E:$E,'F2 - Facturation J'!$B:$B,$B5)/Data!$B$5*SUMIFS(Data!$AJ$4:$AJ$18,Data!$AB$4:$AB$18,$B5))*0.1*80/Data!$B$5</f>
        <v>0</v>
      </c>
      <c r="D5" s="65" cm="1">
        <f t="array" ref="D5">SUM((RDP_Effectif[ETP après déduction des h de maladie])*(RDP_Effectif[Affectation]="Encadrement")*(RDP_Effectif[Prestation]=$B5))</f>
        <v>0</v>
      </c>
      <c r="E5" s="508">
        <v>0</v>
      </c>
      <c r="F5" s="65">
        <f>$C5*20%</f>
        <v>0</v>
      </c>
      <c r="G5" s="65" t="e" cm="1">
        <f t="array" ref="G5">SUM((RDP_Effectif[ETP après déduction des h de maladie])*(RDP_Effectif[Affectation]="Encadrement")*(RDP_Effectif[Prestation]=$B5)*(_xlfn.XLOOKUP(RDP_Effectif[Carrière],Table7[Carrière],Table7[Niveau qualification])="Non qualifié"))</f>
        <v>#N/A</v>
      </c>
      <c r="H5" s="65" t="e">
        <f t="shared" ref="H5:H9" si="2">G5-F5</f>
        <v>#N/A</v>
      </c>
      <c r="I5" s="65">
        <f>$C5*80%*20%</f>
        <v>0</v>
      </c>
      <c r="J5" s="65" t="e" cm="1">
        <f t="array" ref="J5">SUM((RDP_Effectif[ETP après déduction des h de maladie])*(RDP_Effectif[Affectation]="Encadrement")*(RDP_Effectif[Prestation]=$B5)*(_xlfn.XLOOKUP(RDP_Effectif[Carrière],Table7[Carrière],Table7[Niveau qualification])="ASF et aux. de vie"))</f>
        <v>#N/A</v>
      </c>
      <c r="K5" s="65" t="e">
        <f t="shared" si="0"/>
        <v>#N/A</v>
      </c>
      <c r="L5" s="508">
        <v>0</v>
      </c>
      <c r="M5" s="65" t="e" cm="1">
        <f t="array" ref="M5">SUM((RDP_Effectif[ETP après déduction des h de maladie])*(RDP_Effectif[Affectation]="Encadrement")*(RDP_Effectif[Prestation]=$B5)*(_xlfn.XLOOKUP(RDP_Effectif[Carrière],Table7[Carrière],Table7[Niveau qualification])="Secondaire"))</f>
        <v>#N/A</v>
      </c>
      <c r="N5" s="508">
        <v>0</v>
      </c>
      <c r="O5" s="65">
        <f>$C5*80%*40%</f>
        <v>0</v>
      </c>
      <c r="P5" s="65" t="e" cm="1">
        <f t="array" ref="P5">SUM((RDP_Effectif[ETP après déduction des h de maladie])*(RDP_Effectif[Affectation]="Encadrement")*(RDP_Effectif[Prestation]=$B5)*(_xlfn.XLOOKUP(RDP_Effectif[Carrière],Table7[Carrière],Table7[Niveau qualification])="Post-secondaire"))</f>
        <v>#N/A</v>
      </c>
      <c r="Q5" s="65" t="e">
        <f t="shared" si="1"/>
        <v>#N/A</v>
      </c>
      <c r="R5" s="431" t="e">
        <f t="shared" ref="R5:R9" si="3">+D5-P5-M5-J5-G5</f>
        <v>#N/A</v>
      </c>
    </row>
    <row r="6" spans="1:18" x14ac:dyDescent="0.3">
      <c r="A6" t="s">
        <v>428</v>
      </c>
      <c r="B6" t="s">
        <v>110</v>
      </c>
      <c r="C6" s="65">
        <f>(SUMIFS('F2 - Facturation J'!$E:$E,'F2 - Facturation J'!$B:$B,$B6)/Data!$B$5*SUMIFS(Data!$AI$4:$AI$18,Data!$AB$4:$AB$18,$B6)+
SUMIFS('F2 - Facturation J'!$E:$E,'F2 - Facturation J'!$B:$B,$B6)/Data!$B$5*SUMIFS(Data!$AJ$4:$AJ$18,Data!$AB$4:$AB$18,$B6))-
(SUMIFS('F2 - Facturation J'!$E:$E,'F2 - Facturation J'!$B:$B,$B6)/Data!$B$5*SUMIFS(Data!$AI$4:$AI$18,Data!$AB$4:$AB$18,$B6)+
SUMIFS('F2 - Facturation J'!$E:$E,'F2 - Facturation J'!$B:$B,$B6)/Data!$B$5*SUMIFS(Data!$AJ$4:$AJ$18,Data!$AB$4:$AB$18,$B6))*0.1*80/Data!$B$5</f>
        <v>0</v>
      </c>
      <c r="D6" s="65" cm="1">
        <f t="array" ref="D6">SUM((RDP_Effectif[ETP après déduction des h de maladie])*(RDP_Effectif[Affectation]="Encadrement")*(RDP_Effectif[Prestation]=$B6))</f>
        <v>0</v>
      </c>
      <c r="E6" s="508">
        <v>0</v>
      </c>
      <c r="F6" s="65">
        <f>$C6*20%</f>
        <v>0</v>
      </c>
      <c r="G6" s="65" t="e" cm="1">
        <f t="array" ref="G6">SUM((RDP_Effectif[ETP après déduction des h de maladie])*(RDP_Effectif[Affectation]="Encadrement")*(RDP_Effectif[Prestation]=$B6)*(_xlfn.XLOOKUP(RDP_Effectif[Carrière],Table7[Carrière],Table7[Niveau qualification])="Non qualifié"))</f>
        <v>#N/A</v>
      </c>
      <c r="H6" s="65" t="e">
        <f t="shared" si="2"/>
        <v>#N/A</v>
      </c>
      <c r="I6" s="65">
        <f>$C6*80%*20%</f>
        <v>0</v>
      </c>
      <c r="J6" s="65" t="e" cm="1">
        <f t="array" ref="J6">SUM((RDP_Effectif[ETP après déduction des h de maladie])*(RDP_Effectif[Affectation]="Encadrement")*(RDP_Effectif[Prestation]=$B6)*(_xlfn.XLOOKUP(RDP_Effectif[Carrière],Table7[Carrière],Table7[Niveau qualification])="ASF et aux. de vie"))</f>
        <v>#N/A</v>
      </c>
      <c r="K6" s="65" t="e">
        <f t="shared" si="0"/>
        <v>#N/A</v>
      </c>
      <c r="L6" s="508">
        <v>0</v>
      </c>
      <c r="M6" s="65" t="e" cm="1">
        <f t="array" ref="M6">SUM((RDP_Effectif[ETP après déduction des h de maladie])*(RDP_Effectif[Affectation]="Encadrement")*(RDP_Effectif[Prestation]=$B6)*(_xlfn.XLOOKUP(RDP_Effectif[Carrière],Table7[Carrière],Table7[Niveau qualification])="Secondaire"))</f>
        <v>#N/A</v>
      </c>
      <c r="N6" s="508">
        <v>0</v>
      </c>
      <c r="O6" s="65">
        <f>$C6*80%*50%</f>
        <v>0</v>
      </c>
      <c r="P6" s="65" t="e" cm="1">
        <f t="array" ref="P6">SUM((RDP_Effectif[ETP après déduction des h de maladie])*(RDP_Effectif[Affectation]="Encadrement")*(RDP_Effectif[Prestation]=$B6)*(_xlfn.XLOOKUP(RDP_Effectif[Carrière],Table7[Carrière],Table7[Niveau qualification])="Post-secondaire"))</f>
        <v>#N/A</v>
      </c>
      <c r="Q6" s="65" t="e">
        <f t="shared" si="1"/>
        <v>#N/A</v>
      </c>
      <c r="R6" s="431" t="e">
        <f t="shared" si="3"/>
        <v>#N/A</v>
      </c>
    </row>
    <row r="7" spans="1:18" x14ac:dyDescent="0.3">
      <c r="A7" t="s">
        <v>429</v>
      </c>
      <c r="B7" t="s">
        <v>112</v>
      </c>
      <c r="C7" s="65">
        <f>(SUMIFS('F2 - Facturation J'!$E:$E,'F2 - Facturation J'!$B:$B,$B7)/Data!$B$5*SUMIFS(Data!$AI$4:$AI$18,Data!$AB$4:$AB$18,$B7)+
SUMIFS('F2 - Facturation J'!$E:$E,'F2 - Facturation J'!$B:$B,$B7)/Data!$B$5*SUMIFS(Data!$AJ$4:$AJ$18,Data!$AB$4:$AB$18,$B7))-
(SUMIFS('F2 - Facturation J'!$E:$E,'F2 - Facturation J'!$B:$B,$B7)/Data!$B$5*SUMIFS(Data!$AI$4:$AI$18,Data!$AB$4:$AB$18,$B7)+
SUMIFS('F2 - Facturation J'!$E:$E,'F2 - Facturation J'!$B:$B,$B7)/Data!$B$5*SUMIFS(Data!$AJ$4:$AJ$18,Data!$AB$4:$AB$18,$B7))*0.1*80/Data!$B$5</f>
        <v>0</v>
      </c>
      <c r="D7" s="65" cm="1">
        <f t="array" ref="D7">SUM((RDP_Effectif[ETP après déduction des h de maladie])*(RDP_Effectif[Affectation]="Encadrement")*(RDP_Effectif[Prestation]=$B7))</f>
        <v>0</v>
      </c>
      <c r="E7" s="508">
        <v>0</v>
      </c>
      <c r="F7" s="65">
        <f>$C7*20%</f>
        <v>0</v>
      </c>
      <c r="G7" s="65" t="e" cm="1">
        <f t="array" ref="G7">SUM((RDP_Effectif[ETP après déduction des h de maladie])*(RDP_Effectif[Affectation]="Encadrement")*(RDP_Effectif[Prestation]=$B7)*(_xlfn.XLOOKUP(RDP_Effectif[Carrière],Table7[Carrière],Table7[Niveau qualification])="Non qualifié"))</f>
        <v>#N/A</v>
      </c>
      <c r="H7" s="65" t="e">
        <f t="shared" si="2"/>
        <v>#N/A</v>
      </c>
      <c r="I7" s="65">
        <f>$C7*80%*20%</f>
        <v>0</v>
      </c>
      <c r="J7" s="65" t="e" cm="1">
        <f t="array" ref="J7">SUM((RDP_Effectif[ETP après déduction des h de maladie])*(RDP_Effectif[Affectation]="Encadrement")*(RDP_Effectif[Prestation]=$B7)*(_xlfn.XLOOKUP(RDP_Effectif[Carrière],Table7[Carrière],Table7[Niveau qualification])="ASF et aux. de vie"))</f>
        <v>#N/A</v>
      </c>
      <c r="K7" s="65" t="e">
        <f t="shared" si="0"/>
        <v>#N/A</v>
      </c>
      <c r="L7" s="508">
        <v>0</v>
      </c>
      <c r="M7" s="65" t="e" cm="1">
        <f t="array" ref="M7">SUM((RDP_Effectif[ETP après déduction des h de maladie])*(RDP_Effectif[Affectation]="Encadrement")*(RDP_Effectif[Prestation]=$B7)*(_xlfn.XLOOKUP(RDP_Effectif[Carrière],Table7[Carrière],Table7[Niveau qualification])="Secondaire"))</f>
        <v>#N/A</v>
      </c>
      <c r="N7" s="508">
        <v>0</v>
      </c>
      <c r="O7" s="65">
        <f>$C7*80%*50%</f>
        <v>0</v>
      </c>
      <c r="P7" s="65" t="e" cm="1">
        <f t="array" ref="P7">SUM((RDP_Effectif[ETP après déduction des h de maladie])*(RDP_Effectif[Affectation]="Encadrement")*(RDP_Effectif[Prestation]=$B7)*(_xlfn.XLOOKUP(RDP_Effectif[Carrière],Table7[Carrière],Table7[Niveau qualification])="Post-secondaire"))</f>
        <v>#N/A</v>
      </c>
      <c r="Q7" s="65" t="e">
        <f t="shared" si="1"/>
        <v>#N/A</v>
      </c>
      <c r="R7" s="431" t="e">
        <f t="shared" si="3"/>
        <v>#N/A</v>
      </c>
    </row>
    <row r="8" spans="1:18" x14ac:dyDescent="0.3">
      <c r="A8" t="s">
        <v>430</v>
      </c>
      <c r="B8" t="s">
        <v>111</v>
      </c>
      <c r="C8" s="65">
        <f>(SUMIFS('F2 - Facturation J'!$E:$E,'F2 - Facturation J'!$B:$B,$B8)/Data!$B$5*SUMIFS(Data!$AI$4:$AI$18,Data!$AB$4:$AB$18,$B8)+
SUMIFS('F2 - Facturation J'!$E:$E,'F2 - Facturation J'!$B:$B,$B8)/Data!$B$5*SUMIFS(Data!$AJ$4:$AJ$18,Data!$AB$4:$AB$18,$B8))-
(SUMIFS('F2 - Facturation J'!$E:$E,'F2 - Facturation J'!$B:$B,$B8)/Data!$B$5*SUMIFS(Data!$AI$4:$AI$18,Data!$AB$4:$AB$18,$B8)+
SUMIFS('F2 - Facturation J'!$E:$E,'F2 - Facturation J'!$B:$B,$B8)/Data!$B$5*SUMIFS(Data!$AJ$4:$AJ$18,Data!$AB$4:$AB$18,$B8))*0.1*80/Data!$B$5</f>
        <v>0</v>
      </c>
      <c r="D8" s="65" cm="1">
        <f t="array" ref="D8">SUM((RDP_Effectif[ETP après déduction des h de maladie])*(RDP_Effectif[Affectation]="Encadrement")*(RDP_Effectif[Prestation]=$B8))</f>
        <v>0</v>
      </c>
      <c r="E8" s="508">
        <v>0</v>
      </c>
      <c r="F8" s="65">
        <f>$C8*20%</f>
        <v>0</v>
      </c>
      <c r="G8" s="65" t="e" cm="1">
        <f t="array" ref="G8">SUM((RDP_Effectif[ETP après déduction des h de maladie])*(RDP_Effectif[Affectation]="Encadrement")*(RDP_Effectif[Prestation]=$B8)*(_xlfn.XLOOKUP(RDP_Effectif[Carrière],Table7[Carrière],Table7[Niveau qualification])="Non qualifié"))</f>
        <v>#N/A</v>
      </c>
      <c r="H8" s="65" t="e">
        <f t="shared" si="2"/>
        <v>#N/A</v>
      </c>
      <c r="I8" s="65">
        <f>$C8*80%*20%</f>
        <v>0</v>
      </c>
      <c r="J8" s="65" t="e" cm="1">
        <f t="array" ref="J8">SUM((RDP_Effectif[ETP après déduction des h de maladie])*(RDP_Effectif[Affectation]="Encadrement")*(RDP_Effectif[Prestation]=$B8)*(_xlfn.XLOOKUP(RDP_Effectif[Carrière],Table7[Carrière],Table7[Niveau qualification])="ASF et aux. de vie"))</f>
        <v>#N/A</v>
      </c>
      <c r="K8" s="65" t="e">
        <f t="shared" si="0"/>
        <v>#N/A</v>
      </c>
      <c r="L8" s="508">
        <v>0</v>
      </c>
      <c r="M8" s="65" t="e" cm="1">
        <f t="array" ref="M8">SUM((RDP_Effectif[ETP après déduction des h de maladie])*(RDP_Effectif[Affectation]="Encadrement")*(RDP_Effectif[Prestation]=$B8)*(_xlfn.XLOOKUP(RDP_Effectif[Carrière],Table7[Carrière],Table7[Niveau qualification])="Secondaire"))</f>
        <v>#N/A</v>
      </c>
      <c r="N8" s="508">
        <v>0</v>
      </c>
      <c r="O8" s="65">
        <f>$C8*80%*50%</f>
        <v>0</v>
      </c>
      <c r="P8" s="65" t="e" cm="1">
        <f t="array" ref="P8">SUM((RDP_Effectif[ETP après déduction des h de maladie])*(RDP_Effectif[Affectation]="Encadrement")*(RDP_Effectif[Prestation]=$B8)*(_xlfn.XLOOKUP(RDP_Effectif[Carrière],Table7[Carrière],Table7[Niveau qualification])="Post-secondaire"))</f>
        <v>#N/A</v>
      </c>
      <c r="Q8" s="65" t="e">
        <f t="shared" si="1"/>
        <v>#N/A</v>
      </c>
      <c r="R8" s="431" t="e">
        <f t="shared" si="3"/>
        <v>#N/A</v>
      </c>
    </row>
    <row r="9" spans="1:18" x14ac:dyDescent="0.3">
      <c r="A9" t="s">
        <v>46</v>
      </c>
      <c r="B9" s="96" t="s">
        <v>433</v>
      </c>
      <c r="C9" s="65">
        <f>SUM(C4:C8)</f>
        <v>0</v>
      </c>
      <c r="D9" s="65">
        <f>SUM(D4:D8)</f>
        <v>0</v>
      </c>
      <c r="E9" s="65">
        <f>D9-C9</f>
        <v>0</v>
      </c>
      <c r="F9" s="65">
        <f>SUM(F4:F8)</f>
        <v>0</v>
      </c>
      <c r="G9" s="65" t="e">
        <f>SUM(G4:G8)</f>
        <v>#N/A</v>
      </c>
      <c r="H9" s="65" t="e">
        <f t="shared" si="2"/>
        <v>#N/A</v>
      </c>
      <c r="I9" s="65">
        <f>SUM(I4:I8)</f>
        <v>0</v>
      </c>
      <c r="J9" s="65" t="e">
        <f>SUM(J4:J8)</f>
        <v>#N/A</v>
      </c>
      <c r="K9" s="65" t="e">
        <f>J9-I9</f>
        <v>#N/A</v>
      </c>
      <c r="L9" s="65">
        <f>SUM(L4:L8)</f>
        <v>0</v>
      </c>
      <c r="M9" s="65" t="e">
        <f>SUM(M4:M8)</f>
        <v>#N/A</v>
      </c>
      <c r="N9" s="65" t="e">
        <f t="shared" ref="N9" si="4">M9-L9</f>
        <v>#N/A</v>
      </c>
      <c r="O9" s="65">
        <f>SUM(O4:O8)</f>
        <v>0</v>
      </c>
      <c r="P9" s="65" t="e">
        <f>SUM(P4:P8)</f>
        <v>#N/A</v>
      </c>
      <c r="Q9" s="65" t="e">
        <f t="shared" si="1"/>
        <v>#N/A</v>
      </c>
      <c r="R9" s="431" t="e">
        <f t="shared" si="3"/>
        <v>#N/A</v>
      </c>
    </row>
    <row r="10" spans="1:18" ht="15" thickBot="1" x14ac:dyDescent="0.35"/>
    <row r="11" spans="1:18" ht="15" thickBot="1" x14ac:dyDescent="0.35">
      <c r="B11" s="553" t="s">
        <v>471</v>
      </c>
      <c r="C11" s="554"/>
      <c r="D11" s="558" t="str">
        <f>IF('F0 - Générales'!$B$6="Journalier",IF(E9&lt;0,"Non réussi","Réussi"),"Pas concerné")</f>
        <v>Pas concerné</v>
      </c>
      <c r="E11" s="559"/>
    </row>
    <row r="12" spans="1:18" ht="15" thickBot="1" x14ac:dyDescent="0.35">
      <c r="B12" s="553" t="s">
        <v>472</v>
      </c>
      <c r="C12" s="554"/>
      <c r="D12" s="558" t="str">
        <f>IF('F0 - Générales'!$B$6="Journalier",IF(OR(H9&gt;0,K9&gt;0,Q9&lt;0),"Non réussi","Réussi"),"Pas concerné")</f>
        <v>Pas concerné</v>
      </c>
      <c r="E12" s="559"/>
      <c r="N12" s="136"/>
    </row>
  </sheetData>
  <sheetProtection algorithmName="SHA-512" hashValue="OAgRklS8OjAcxQZ4RZucvWWD6/jqSC/9qVqfreyMDR2oJwzbHlpVrEBmtMSa/E4aAV/C8tqlzbzpi08jgLbfLw==" saltValue="26ow0EnXVxdfwikY7kbLuw==" spinCount="100000" sheet="1" objects="1" scenarios="1"/>
  <mergeCells count="5">
    <mergeCell ref="A2:B2"/>
    <mergeCell ref="B11:C11"/>
    <mergeCell ref="D11:E11"/>
    <mergeCell ref="B12:C12"/>
    <mergeCell ref="D12:E12"/>
  </mergeCells>
  <conditionalFormatting sqref="D11:D12">
    <cfRule type="containsText" dxfId="17" priority="2" operator="containsText" text="Non réussi">
      <formula>NOT(ISERROR(SEARCH("Non réussi",D11)))</formula>
    </cfRule>
    <cfRule type="containsText" dxfId="16" priority="3" operator="containsText" text="Réussi">
      <formula>NOT(ISERROR(SEARCH("Réussi",D11)))</formula>
    </cfRule>
  </conditionalFormatting>
  <conditionalFormatting sqref="D11:E12">
    <cfRule type="containsText" dxfId="15" priority="1" operator="containsText" text="Pas concerné">
      <formula>NOT(ISERROR(SEARCH("Pas concerné",D11)))</formula>
    </cfRule>
  </conditionalFormatting>
  <conditionalFormatting sqref="G9:H9 K9 E9">
    <cfRule type="cellIs" dxfId="14" priority="30" operator="greaterThan">
      <formula>0</formula>
    </cfRule>
    <cfRule type="cellIs" dxfId="13" priority="31" operator="lessThan">
      <formula>0</formula>
    </cfRule>
  </conditionalFormatting>
  <conditionalFormatting sqref="G11:H11 K11">
    <cfRule type="containsText" dxfId="12" priority="13" operator="containsText" text="Pas concerné">
      <formula>NOT(ISERROR(SEARCH("Pas concerné",G11)))</formula>
    </cfRule>
  </conditionalFormatting>
  <conditionalFormatting sqref="H9">
    <cfRule type="cellIs" dxfId="11" priority="22" operator="lessThan">
      <formula>0</formula>
    </cfRule>
    <cfRule type="cellIs" dxfId="10" priority="23" operator="greaterThan">
      <formula>0</formula>
    </cfRule>
  </conditionalFormatting>
  <conditionalFormatting sqref="K9">
    <cfRule type="cellIs" dxfId="9" priority="20" operator="lessThan">
      <formula>0</formula>
    </cfRule>
    <cfRule type="cellIs" dxfId="8" priority="21" operator="greaterThan">
      <formula>0</formula>
    </cfRule>
  </conditionalFormatting>
  <conditionalFormatting sqref="Q9">
    <cfRule type="cellIs" dxfId="7" priority="26" operator="greaterThan">
      <formula>0</formula>
    </cfRule>
    <cfRule type="cellIs" dxfId="6" priority="27" operator="lessThan">
      <formula>0</formula>
    </cfRule>
  </conditionalFormatting>
  <pageMargins left="0.7" right="0.7" top="0.75" bottom="0.75" header="0.3" footer="0.3"/>
  <pageSetup paperSize="9" scale="27" orientation="portrait" r:id="rId1"/>
  <headerFooter>
    <oddFooter>&amp;L&amp;Z&amp;F
&amp;D&amp;T&amp;R&amp;P/&amp;N</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C16EB-A8D6-47CE-99F6-C26AD90585A6}">
  <sheetPr>
    <tabColor theme="5" tint="0.39997558519241921"/>
  </sheetPr>
  <dimension ref="A1:U4"/>
  <sheetViews>
    <sheetView zoomScaleNormal="100" workbookViewId="0">
      <selection activeCell="U4" sqref="U4"/>
    </sheetView>
  </sheetViews>
  <sheetFormatPr defaultRowHeight="14.4" x14ac:dyDescent="0.3"/>
  <sheetData>
    <row r="1" spans="1:21" ht="21" x14ac:dyDescent="0.4">
      <c r="A1" s="153" t="s">
        <v>491</v>
      </c>
    </row>
    <row r="2" spans="1:21" ht="15.6" x14ac:dyDescent="0.3">
      <c r="A2" s="364" t="s">
        <v>492</v>
      </c>
      <c r="B2" s="364"/>
      <c r="L2" s="364" t="s">
        <v>493</v>
      </c>
      <c r="M2" s="364"/>
      <c r="N2" s="97"/>
      <c r="O2" s="97"/>
    </row>
    <row r="3" spans="1:21" ht="28.8" x14ac:dyDescent="0.3">
      <c r="A3" s="429" t="str" cm="1">
        <f t="array" ref="A3:I3">TRANSPOSE(_xlfn.UNIQUE(Table4[Equivalent carrière]))</f>
        <v>C1</v>
      </c>
      <c r="B3" s="429" t="str">
        <v>C2 non qualifié</v>
      </c>
      <c r="C3" s="429" t="str">
        <v>C2 qualifié</v>
      </c>
      <c r="D3" s="429" t="str">
        <v>C3 non qualifié</v>
      </c>
      <c r="E3" s="429" t="str">
        <v>C3 qualifié</v>
      </c>
      <c r="F3" s="429" t="str">
        <v>C4</v>
      </c>
      <c r="G3" s="429" t="str">
        <v>C5</v>
      </c>
      <c r="H3" s="429" t="str">
        <v>C6</v>
      </c>
      <c r="I3" s="429" t="str">
        <v>C7</v>
      </c>
      <c r="J3" s="465" t="s">
        <v>46</v>
      </c>
      <c r="L3" s="429" t="str" cm="1">
        <f t="array" ref="L3:T3">TRANSPOSE(_xlfn.UNIQUE(Table4[Equivalent carrière]))</f>
        <v>C1</v>
      </c>
      <c r="M3" s="429" t="str">
        <v>C2 non qualifié</v>
      </c>
      <c r="N3" s="429" t="str">
        <v>C2 qualifié</v>
      </c>
      <c r="O3" s="429" t="str">
        <v>C3 non qualifié</v>
      </c>
      <c r="P3" s="429" t="str">
        <v>C3 qualifié</v>
      </c>
      <c r="Q3" s="429" t="str">
        <v>C4</v>
      </c>
      <c r="R3" s="429" t="str">
        <v>C5</v>
      </c>
      <c r="S3" s="429" t="str">
        <v>C6</v>
      </c>
      <c r="T3" s="429" t="str">
        <v>C7</v>
      </c>
      <c r="U3" s="465" t="s">
        <v>46</v>
      </c>
    </row>
    <row r="4" spans="1:21" x14ac:dyDescent="0.3">
      <c r="A4" s="65" t="e" cm="1">
        <f t="array" ref="A4">SUM((RDP_Effectif[[ETP après déduction des h de maladie]:[ETP après déduction des h de maladie]])*(RDP_Effectif[[Affectation]:[Affectation]]="Encadrement")*(_xlfn.XLOOKUP(RDP_Effectif[[Carrière]:[Carrière]],Table4[[Carrière]:[Carrière]],Table4[[Equivalent carrière]:[Equivalent carrière]])=A$3))</f>
        <v>#N/A</v>
      </c>
      <c r="B4" s="65" t="e" cm="1">
        <f t="array" ref="B4">SUM((RDP_Effectif[[ETP après déduction des h de maladie]:[ETP après déduction des h de maladie]])*(RDP_Effectif[[Affectation]:[Affectation]]="Encadrement")*(_xlfn.XLOOKUP(RDP_Effectif[[Carrière]:[Carrière]],Table4[[Carrière]:[Carrière]],Table4[[Equivalent carrière]:[Equivalent carrière]])=B$3))</f>
        <v>#N/A</v>
      </c>
      <c r="C4" s="65" t="e" cm="1">
        <f t="array" ref="C4">SUM((RDP_Effectif[[ETP après déduction des h de maladie]:[ETP après déduction des h de maladie]])*(RDP_Effectif[[Affectation]:[Affectation]]="Encadrement")*(_xlfn.XLOOKUP(RDP_Effectif[[Carrière]:[Carrière]],Table4[[Carrière]:[Carrière]],Table4[[Equivalent carrière]:[Equivalent carrière]])=C$3))</f>
        <v>#N/A</v>
      </c>
      <c r="D4" s="65" t="e" cm="1">
        <f t="array" ref="D4">SUM((RDP_Effectif[[ETP après déduction des h de maladie]:[ETP après déduction des h de maladie]])*(RDP_Effectif[[Affectation]:[Affectation]]="Encadrement")*(_xlfn.XLOOKUP(RDP_Effectif[[Carrière]:[Carrière]],Table4[[Carrière]:[Carrière]],Table4[[Equivalent carrière]:[Equivalent carrière]])=D$3))</f>
        <v>#N/A</v>
      </c>
      <c r="E4" s="65" t="e" cm="1">
        <f t="array" ref="E4">SUM((RDP_Effectif[[ETP après déduction des h de maladie]:[ETP après déduction des h de maladie]])*(RDP_Effectif[[Affectation]:[Affectation]]="Encadrement")*(_xlfn.XLOOKUP(RDP_Effectif[[Carrière]:[Carrière]],Table4[[Carrière]:[Carrière]],Table4[[Equivalent carrière]:[Equivalent carrière]])=E$3))</f>
        <v>#N/A</v>
      </c>
      <c r="F4" s="65" t="e" cm="1">
        <f t="array" ref="F4">SUM((RDP_Effectif[[ETP après déduction des h de maladie]:[ETP après déduction des h de maladie]])*(RDP_Effectif[[Affectation]:[Affectation]]="Encadrement")*(_xlfn.XLOOKUP(RDP_Effectif[[Carrière]:[Carrière]],Table4[[Carrière]:[Carrière]],Table4[[Equivalent carrière]:[Equivalent carrière]])=F$3))</f>
        <v>#N/A</v>
      </c>
      <c r="G4" s="65" t="e" cm="1">
        <f t="array" ref="G4">SUM((RDP_Effectif[[ETP après déduction des h de maladie]:[ETP après déduction des h de maladie]])*(RDP_Effectif[[Affectation]:[Affectation]]="Encadrement")*(_xlfn.XLOOKUP(RDP_Effectif[[Carrière]:[Carrière]],Table4[[Carrière]:[Carrière]],Table4[[Equivalent carrière]:[Equivalent carrière]])=G$3))</f>
        <v>#N/A</v>
      </c>
      <c r="H4" s="65" t="e" cm="1">
        <f t="array" ref="H4">SUM((RDP_Effectif[[ETP après déduction des h de maladie]:[ETP après déduction des h de maladie]])*(RDP_Effectif[[Affectation]:[Affectation]]="Encadrement")*(_xlfn.XLOOKUP(RDP_Effectif[[Carrière]:[Carrière]],Table4[[Carrière]:[Carrière]],Table4[[Equivalent carrière]:[Equivalent carrière]])=H$3))</f>
        <v>#N/A</v>
      </c>
      <c r="I4" s="65" t="e" cm="1">
        <f t="array" ref="I4">SUM((RDP_Effectif[[ETP après déduction des h de maladie]:[ETP après déduction des h de maladie]])*(RDP_Effectif[[Affectation]:[Affectation]]="Encadrement")*(_xlfn.XLOOKUP(RDP_Effectif[[Carrière]:[Carrière]],Table4[[Carrière]:[Carrière]],Table4[[Equivalent carrière]:[Equivalent carrière]])=I$3))</f>
        <v>#N/A</v>
      </c>
      <c r="J4" s="65" t="e">
        <f>SUM(A4:I4)</f>
        <v>#N/A</v>
      </c>
      <c r="L4" s="65" t="e" cm="1">
        <f t="array" ref="L4">SUM((RDP_Effectif[[ETP après déduction des h de maladie]:[ETP après déduction des h de maladie]])*(RDP_Effectif[[Affectation]:[Affectation]]&lt;&gt;"Encadrement")*(_xlfn.XLOOKUP(RDP_Effectif[[Carrière]:[Carrière]],Table4[[Carrière]:[Carrière]],Table4[[Equivalent carrière]:[Equivalent carrière]])=M$3))</f>
        <v>#N/A</v>
      </c>
      <c r="M4" s="65" t="e" cm="1">
        <f t="array" ref="M4">SUM((RDP_Effectif[[ETP après déduction des h de maladie]:[ETP après déduction des h de maladie]])*(RDP_Effectif[[Affectation]:[Affectation]]&lt;&gt;"Encadrement")*(_xlfn.XLOOKUP(RDP_Effectif[[Carrière]:[Carrière]],Table4[[Carrière]:[Carrière]],Table4[[Equivalent carrière]:[Equivalent carrière]])=N$3))</f>
        <v>#N/A</v>
      </c>
      <c r="N4" s="65" t="e" cm="1">
        <f t="array" ref="N4">SUM((RDP_Effectif[[ETP après déduction des h de maladie]:[ETP après déduction des h de maladie]])*(RDP_Effectif[[Affectation]:[Affectation]]&lt;&gt;"Encadrement")*(_xlfn.XLOOKUP(RDP_Effectif[[Carrière]:[Carrière]],Table4[[Carrière]:[Carrière]],Table4[[Equivalent carrière]:[Equivalent carrière]])=O$3))</f>
        <v>#N/A</v>
      </c>
      <c r="O4" s="65" t="e" cm="1">
        <f t="array" ref="O4">SUM((RDP_Effectif[[ETP après déduction des h de maladie]:[ETP après déduction des h de maladie]])*(RDP_Effectif[[Affectation]:[Affectation]]&lt;&gt;"Encadrement")*(_xlfn.XLOOKUP(RDP_Effectif[[Carrière]:[Carrière]],Table4[[Carrière]:[Carrière]],Table4[[Equivalent carrière]:[Equivalent carrière]])=P$3))</f>
        <v>#N/A</v>
      </c>
      <c r="P4" s="65" t="e" cm="1">
        <f t="array" ref="P4">SUM((RDP_Effectif[[ETP après déduction des h de maladie]:[ETP après déduction des h de maladie]])*(RDP_Effectif[[Affectation]:[Affectation]]&lt;&gt;"Encadrement")*(_xlfn.XLOOKUP(RDP_Effectif[[Carrière]:[Carrière]],Table4[[Carrière]:[Carrière]],Table4[[Equivalent carrière]:[Equivalent carrière]])=Q$3))</f>
        <v>#N/A</v>
      </c>
      <c r="Q4" s="65" t="e" cm="1">
        <f t="array" ref="Q4">SUM((RDP_Effectif[[ETP après déduction des h de maladie]:[ETP après déduction des h de maladie]])*(RDP_Effectif[[Affectation]:[Affectation]]&lt;&gt;"Encadrement")*(_xlfn.XLOOKUP(RDP_Effectif[[Carrière]:[Carrière]],Table4[[Carrière]:[Carrière]],Table4[[Equivalent carrière]:[Equivalent carrière]])=R$3))</f>
        <v>#N/A</v>
      </c>
      <c r="R4" s="65" t="e" cm="1">
        <f t="array" ref="R4">SUM((RDP_Effectif[[ETP après déduction des h de maladie]:[ETP après déduction des h de maladie]])*(RDP_Effectif[[Affectation]:[Affectation]]&lt;&gt;"Encadrement")*(_xlfn.XLOOKUP(RDP_Effectif[[Carrière]:[Carrière]],Table4[[Carrière]:[Carrière]],Table4[[Equivalent carrière]:[Equivalent carrière]])=S$3))</f>
        <v>#N/A</v>
      </c>
      <c r="S4" s="65" t="e" cm="1">
        <f t="array" ref="S4">SUM((RDP_Effectif[[ETP après déduction des h de maladie]:[ETP après déduction des h de maladie]])*(RDP_Effectif[[Affectation]:[Affectation]]&lt;&gt;"Encadrement")*(_xlfn.XLOOKUP(RDP_Effectif[[Carrière]:[Carrière]],Table4[[Carrière]:[Carrière]],Table4[[Equivalent carrière]:[Equivalent carrière]])=T$3))</f>
        <v>#N/A</v>
      </c>
      <c r="T4" s="65" t="e" cm="1">
        <f t="array" ref="T4">SUM((RDP_Effectif[[ETP après déduction des h de maladie]:[ETP après déduction des h de maladie]])*(RDP_Effectif[[Affectation]:[Affectation]]&lt;&gt;"Encadrement")*(_xlfn.XLOOKUP(RDP_Effectif[[Carrière]:[Carrière]],Table4[[Carrière]:[Carrière]],Table4[[Equivalent carrière]:[Equivalent carrière]])=U$3))</f>
        <v>#N/A</v>
      </c>
      <c r="U4" s="65" t="e">
        <f>SUM(L4:T4)</f>
        <v>#N/A</v>
      </c>
    </row>
  </sheetData>
  <pageMargins left="0.7" right="0.7" top="0.75" bottom="0.75" header="0.3" footer="0.3"/>
  <pageSetup paperSize="9" scale="86" orientation="portrait" r:id="rId1"/>
  <headerFooter>
    <oddFooter>&amp;L&amp;Z&amp;F
&amp;D&amp;T&amp;R&amp;P/&amp;N</oddFooter>
  </headerFooter>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ECD20-F6FD-4DB0-8E9C-747E72C2B168}">
  <sheetPr>
    <tabColor rgb="FFFFC000"/>
  </sheetPr>
  <dimension ref="A1:J164"/>
  <sheetViews>
    <sheetView workbookViewId="0">
      <selection activeCell="B17" sqref="B17"/>
    </sheetView>
  </sheetViews>
  <sheetFormatPr defaultRowHeight="14.4" x14ac:dyDescent="0.3"/>
  <cols>
    <col min="1" max="1" width="86.109375" customWidth="1"/>
    <col min="2" max="2" width="24.6640625" bestFit="1" customWidth="1"/>
    <col min="3" max="3" width="17.44140625" customWidth="1"/>
    <col min="4" max="4" width="12.6640625" bestFit="1" customWidth="1"/>
    <col min="5" max="5" width="15" bestFit="1" customWidth="1"/>
    <col min="6" max="6" width="13.6640625" customWidth="1"/>
    <col min="7" max="7" width="26.33203125" bestFit="1" customWidth="1"/>
    <col min="8" max="8" width="13.88671875" customWidth="1"/>
    <col min="9" max="9" width="11.33203125" customWidth="1"/>
    <col min="10" max="10" width="10.44140625" bestFit="1" customWidth="1"/>
    <col min="11" max="11" width="10.109375" customWidth="1"/>
  </cols>
  <sheetData>
    <row r="1" spans="1:10" ht="18" x14ac:dyDescent="0.35">
      <c r="A1" s="373" t="str">
        <f>'F0 - Générales'!$B$4&amp;" "&amp;'F0 - Générales'!B6&amp;" "&amp;'F0 - Générales'!B7</f>
        <v xml:space="preserve">  </v>
      </c>
      <c r="B1" s="374"/>
      <c r="C1" s="374"/>
    </row>
    <row r="2" spans="1:10" x14ac:dyDescent="0.3">
      <c r="A2" s="2"/>
      <c r="B2" s="112" t="s">
        <v>312</v>
      </c>
      <c r="C2" s="112" t="s">
        <v>311</v>
      </c>
    </row>
    <row r="3" spans="1:10" x14ac:dyDescent="0.3">
      <c r="A3" s="85">
        <v>7</v>
      </c>
      <c r="B3" s="104">
        <f>SUMIFS('F2 - Facturation H'!$E:$E,'F2 - Facturation H'!$D:$D,A3)</f>
        <v>0</v>
      </c>
      <c r="C3" s="104">
        <f>SUMIFS('F2 - Facturation H'!$I:$I,'F2 - Facturation H'!$D:$D,A3)</f>
        <v>0</v>
      </c>
    </row>
    <row r="4" spans="1:10" x14ac:dyDescent="0.3">
      <c r="A4" s="2" t="s">
        <v>412</v>
      </c>
      <c r="B4" s="104">
        <f>SUMIFS('F2 - Facturation H'!$F:$F,'F2 - Facturation H'!$D:$D,A3)</f>
        <v>0</v>
      </c>
      <c r="C4" s="104">
        <f>SUMIFS('F2 - Facturation H'!$J:$J,'F2 - Facturation H'!$D:$D,A3)</f>
        <v>0</v>
      </c>
    </row>
    <row r="5" spans="1:10" x14ac:dyDescent="0.3">
      <c r="A5" s="375" t="s">
        <v>9</v>
      </c>
      <c r="B5" s="104">
        <f>SUMIFS('F2 - Facturation H'!$E:$E,'F2 - Facturation H'!$D:$D,A5)</f>
        <v>0</v>
      </c>
      <c r="C5" s="104">
        <f>SUMIFS('F2 - Facturation H'!$I:$I,'F2 - Facturation H'!$D:$D,A5)</f>
        <v>0</v>
      </c>
    </row>
    <row r="6" spans="1:10" x14ac:dyDescent="0.3">
      <c r="A6" s="2" t="s">
        <v>413</v>
      </c>
      <c r="B6" s="104">
        <f>SUMIFS('F2 - Facturation H'!$F:$F,'F2 - Facturation H'!$D:$D,A5)</f>
        <v>0</v>
      </c>
      <c r="C6" s="104">
        <f>SUMIFS('F2 - Facturation H'!$J:$J,'F2 - Facturation H'!$D:$D,A5)</f>
        <v>0</v>
      </c>
    </row>
    <row r="7" spans="1:10" x14ac:dyDescent="0.3">
      <c r="A7" s="376" t="s">
        <v>11</v>
      </c>
      <c r="B7" s="104">
        <f>SUMIFS('F2 - Facturation H'!$E:$E,'F2 - Facturation H'!$D:$D,A7)</f>
        <v>0</v>
      </c>
      <c r="C7" s="104">
        <f>SUMIFS('F2 - Facturation H'!$I:$I,'F2 - Facturation H'!$D:$D,A7)</f>
        <v>0</v>
      </c>
    </row>
    <row r="8" spans="1:10" x14ac:dyDescent="0.3">
      <c r="A8" s="104" t="str">
        <f>"Déplacement " &amp;$A$7</f>
        <v>Déplacement 8.2</v>
      </c>
      <c r="B8" s="104">
        <f>SUMIFS('F2 - Facturation H'!$F:$F,'F2 - Facturation H'!$D:$D,A7)</f>
        <v>0</v>
      </c>
      <c r="C8" s="104">
        <f>SUMIFS('F2 - Facturation H'!$J:$J,'F2 - Facturation H'!$D:$D,A7)</f>
        <v>0</v>
      </c>
    </row>
    <row r="9" spans="1:10" x14ac:dyDescent="0.3">
      <c r="A9" s="85" t="s">
        <v>13</v>
      </c>
      <c r="B9" s="104">
        <f>SUMIFS('F2 - Facturation H'!$E:$E,'F2 - Facturation H'!$D:$D,A9)</f>
        <v>0</v>
      </c>
      <c r="C9" s="104">
        <f>SUMIFS('F2 - Facturation H'!$I:$I,'F2 - Facturation H'!$D:$D,A9)</f>
        <v>0</v>
      </c>
      <c r="E9" s="96"/>
      <c r="F9" s="377"/>
      <c r="G9" s="104"/>
      <c r="I9" s="65"/>
    </row>
    <row r="10" spans="1:10" x14ac:dyDescent="0.3">
      <c r="A10" s="378" t="s">
        <v>414</v>
      </c>
      <c r="B10" s="104">
        <f>SUMIFS('F2 - Facturation H'!$F:$F,'F2 - Facturation H'!$D:$D,A9)</f>
        <v>0</v>
      </c>
      <c r="C10" s="104">
        <f>SUMIFS('F2 - Facturation H'!$J:$J,'F2 - Facturation H'!$D:$D,A9)</f>
        <v>0</v>
      </c>
      <c r="E10" s="96"/>
      <c r="F10" s="377"/>
      <c r="G10" s="104"/>
      <c r="I10" s="65"/>
    </row>
    <row r="11" spans="1:10" x14ac:dyDescent="0.3">
      <c r="A11" s="379" t="s">
        <v>15</v>
      </c>
      <c r="B11" s="104">
        <f>SUMIFS('F2 - Facturation H'!$E:$E,'F2 - Facturation H'!$D:$D,A11)</f>
        <v>0</v>
      </c>
      <c r="C11" s="104">
        <f>SUMIFS('F2 - Facturation H'!$I:$I,'F2 - Facturation H'!$D:$D,A11)</f>
        <v>0</v>
      </c>
      <c r="E11" s="96"/>
      <c r="F11" s="377"/>
      <c r="G11" s="104"/>
      <c r="I11" s="65" t="s">
        <v>419</v>
      </c>
      <c r="J11" t="s">
        <v>419</v>
      </c>
    </row>
    <row r="12" spans="1:10" x14ac:dyDescent="0.3">
      <c r="A12" s="379" t="s">
        <v>415</v>
      </c>
      <c r="B12" s="104">
        <f>SUMIFS('F2 - Facturation H'!$F:$F,'F2 - Facturation H'!$D:$D,A11)</f>
        <v>0</v>
      </c>
      <c r="C12" s="104">
        <f>SUMIFS('F2 - Facturation H'!$J:$J,'F2 - Facturation H'!$D:$D,A11)</f>
        <v>0</v>
      </c>
      <c r="E12" s="96"/>
      <c r="F12" s="377"/>
      <c r="G12" s="104"/>
      <c r="I12" s="65"/>
    </row>
    <row r="13" spans="1:10" x14ac:dyDescent="0.3">
      <c r="A13" s="104" t="s">
        <v>18</v>
      </c>
      <c r="B13" s="104">
        <f>SUMIFS('F2 - Facturation H'!$E:$E,'F2 - Facturation H'!$D:$D,A13)</f>
        <v>0</v>
      </c>
      <c r="C13" s="104">
        <f>SUMIFS('F2 - Facturation H'!$I:$I,'F2 - Facturation H'!$D:$D,A13)</f>
        <v>0</v>
      </c>
      <c r="E13" s="96"/>
      <c r="F13" s="377"/>
      <c r="G13" s="104"/>
      <c r="I13" s="65"/>
    </row>
    <row r="14" spans="1:10" x14ac:dyDescent="0.3">
      <c r="A14" s="104" t="s">
        <v>416</v>
      </c>
      <c r="B14" s="104">
        <f>SUMIFS('F2 - Facturation H'!$F:$F,'F2 - Facturation H'!$D:$D,A13)</f>
        <v>0</v>
      </c>
      <c r="C14" s="104">
        <f>SUMIFS('F2 - Facturation H'!$J:$J,'F2 - Facturation H'!$D:$D,A13)</f>
        <v>0</v>
      </c>
      <c r="E14" s="96" t="s">
        <v>417</v>
      </c>
      <c r="F14" s="96" t="s">
        <v>418</v>
      </c>
      <c r="G14" s="104" t="e">
        <f>VLOOKUP('F0 - Générales'!B7,Synthèse!A1:F22,5,FALSE)</f>
        <v>#N/A</v>
      </c>
      <c r="I14" s="65"/>
    </row>
    <row r="15" spans="1:10" x14ac:dyDescent="0.3">
      <c r="A15" s="104" t="s">
        <v>114</v>
      </c>
      <c r="B15" s="104">
        <f>SUMIFS('F2 - Facturation J'!$E:$E,'F2 - Facturation J'!$A:$A,A15)</f>
        <v>0</v>
      </c>
      <c r="C15" s="104">
        <f>SUMIFS('F2 - Facturation J'!$I:$I,'F2 - Facturation J'!$A:$A,A15)</f>
        <v>0</v>
      </c>
      <c r="D15" s="104">
        <v>0</v>
      </c>
      <c r="E15" s="380">
        <v>33.883000000000003</v>
      </c>
      <c r="F15" s="377" t="str">
        <f>IF(B15=0,"",E15/$G$14)</f>
        <v/>
      </c>
      <c r="G15" s="104" t="str">
        <f>IF(B15=0,"",C15*F15)</f>
        <v/>
      </c>
      <c r="I15" s="65"/>
    </row>
    <row r="16" spans="1:10" x14ac:dyDescent="0.3">
      <c r="A16" s="104" t="s">
        <v>115</v>
      </c>
      <c r="B16" s="104">
        <f>SUMIFS('F2 - Facturation J'!$E:$E,'F2 - Facturation J'!$A:$A,A16)</f>
        <v>0</v>
      </c>
      <c r="C16" s="104">
        <f>SUMIFS('F2 - Facturation J'!$I:$I,'F2 - Facturation J'!$A:$A,A16)</f>
        <v>0</v>
      </c>
      <c r="D16" s="104">
        <v>0</v>
      </c>
      <c r="E16" s="380">
        <v>38.110500000000002</v>
      </c>
      <c r="F16" s="377" t="str">
        <f t="shared" ref="F16:F20" si="0">IF(B16=0,"",E16/$G$14)</f>
        <v/>
      </c>
      <c r="G16" s="104" t="str">
        <f t="shared" ref="G16:G20" si="1">IF(B16=0,"",C16*F16)</f>
        <v/>
      </c>
      <c r="I16" s="65"/>
    </row>
    <row r="17" spans="1:10" x14ac:dyDescent="0.3">
      <c r="A17" s="104" t="s">
        <v>116</v>
      </c>
      <c r="B17" s="104">
        <f>SUMIFS('F2 - Facturation J'!$E:$E,'F2 - Facturation J'!$A:$A,A17)</f>
        <v>0</v>
      </c>
      <c r="C17" s="104">
        <f>SUMIFS('F2 - Facturation J'!$I:$I,'F2 - Facturation J'!$A:$A,A17)</f>
        <v>0</v>
      </c>
      <c r="D17" s="104">
        <v>0</v>
      </c>
      <c r="E17" s="380">
        <v>55.199800000000003</v>
      </c>
      <c r="F17" s="377" t="str">
        <f t="shared" si="0"/>
        <v/>
      </c>
      <c r="G17" s="104" t="str">
        <f t="shared" si="1"/>
        <v/>
      </c>
      <c r="I17" s="65"/>
    </row>
    <row r="18" spans="1:10" x14ac:dyDescent="0.3">
      <c r="A18" s="104" t="s">
        <v>117</v>
      </c>
      <c r="B18" s="104">
        <f>SUMIFS('F2 - Facturation J'!$E:$E,'F2 - Facturation J'!$A:$A,A18)</f>
        <v>0</v>
      </c>
      <c r="C18" s="104">
        <f>SUMIFS('F2 - Facturation J'!$I:$I,'F2 - Facturation J'!$A:$A,A18)</f>
        <v>0</v>
      </c>
      <c r="D18" s="104">
        <v>0</v>
      </c>
      <c r="E18" s="380">
        <v>43.772199999999998</v>
      </c>
      <c r="F18" s="377" t="str">
        <f t="shared" si="0"/>
        <v/>
      </c>
      <c r="G18" s="104" t="str">
        <f t="shared" si="1"/>
        <v/>
      </c>
      <c r="I18" s="65"/>
    </row>
    <row r="19" spans="1:10" x14ac:dyDescent="0.3">
      <c r="A19" s="104" t="s">
        <v>345</v>
      </c>
      <c r="B19" s="104">
        <f>SUMIFS('F2 - Facturation J'!$E:$E,'F2 - Facturation J'!$A:$A,A19)</f>
        <v>0</v>
      </c>
      <c r="C19" s="104">
        <f>SUMIFS('F2 - Facturation J'!$I:$I,'F2 - Facturation J'!$A:$A,A19)</f>
        <v>0</v>
      </c>
      <c r="D19" s="104">
        <v>0</v>
      </c>
      <c r="E19" s="380">
        <v>56.904600000000002</v>
      </c>
      <c r="F19" s="377" t="str">
        <f t="shared" si="0"/>
        <v/>
      </c>
      <c r="G19" s="104" t="str">
        <f t="shared" si="1"/>
        <v/>
      </c>
      <c r="I19" s="65"/>
    </row>
    <row r="20" spans="1:10" x14ac:dyDescent="0.3">
      <c r="A20" s="104" t="s">
        <v>229</v>
      </c>
      <c r="B20" s="104">
        <f>SUMIFS('F2 - Facturation J'!$E:$E,'F2 - Facturation J'!$A:$A,A20)</f>
        <v>0</v>
      </c>
      <c r="C20" s="104">
        <f>SUMIFS('F2 - Facturation J'!$I:$I,'F2 - Facturation J'!$A:$A,A20)</f>
        <v>0</v>
      </c>
      <c r="D20" s="104">
        <v>0</v>
      </c>
      <c r="E20" s="380">
        <v>59.789900000000003</v>
      </c>
      <c r="F20" s="377" t="str">
        <f t="shared" si="0"/>
        <v/>
      </c>
      <c r="G20" s="104" t="str">
        <f t="shared" si="1"/>
        <v/>
      </c>
      <c r="I20" s="65"/>
    </row>
    <row r="21" spans="1:10" x14ac:dyDescent="0.3">
      <c r="A21" s="104" t="s">
        <v>118</v>
      </c>
      <c r="B21" s="104">
        <f>SUMIFS('F2 - Facturation J'!$E:$E,'F2 - Facturation J'!$A:$A,A21)</f>
        <v>0</v>
      </c>
      <c r="C21" s="104">
        <f>SUMIFS('F2 - Facturation J'!$I:$I,'F2 - Facturation J'!$A:$A,A21)</f>
        <v>0</v>
      </c>
      <c r="D21" s="104">
        <v>0</v>
      </c>
      <c r="E21" s="96"/>
      <c r="F21" s="377"/>
      <c r="G21" s="104"/>
      <c r="I21" s="65"/>
    </row>
    <row r="22" spans="1:10" x14ac:dyDescent="0.3">
      <c r="A22" s="104" t="s">
        <v>119</v>
      </c>
      <c r="B22" s="104">
        <f>SUMIFS('F2 - Facturation J'!$E:$E,'F2 - Facturation J'!$A:$A,A22)</f>
        <v>0</v>
      </c>
      <c r="C22" s="104">
        <f>SUMIFS('F2 - Facturation J'!$I:$I,'F2 - Facturation J'!$A:$A,A22)</f>
        <v>0</v>
      </c>
      <c r="D22" s="104">
        <v>0</v>
      </c>
      <c r="E22" s="96"/>
      <c r="F22" s="377"/>
      <c r="G22" s="104"/>
      <c r="H22" s="381"/>
      <c r="I22" s="65" t="s">
        <v>419</v>
      </c>
      <c r="J22" t="s">
        <v>419</v>
      </c>
    </row>
    <row r="23" spans="1:10" x14ac:dyDescent="0.3">
      <c r="A23" s="2"/>
      <c r="B23" s="112"/>
      <c r="C23" s="112"/>
      <c r="E23" s="381"/>
      <c r="F23" s="381"/>
      <c r="G23" s="381"/>
    </row>
    <row r="24" spans="1:10" x14ac:dyDescent="0.3">
      <c r="D24" s="65"/>
      <c r="E24" s="381"/>
      <c r="F24" s="381"/>
      <c r="G24" s="381"/>
      <c r="H24" s="65"/>
    </row>
    <row r="25" spans="1:10" x14ac:dyDescent="0.3">
      <c r="D25" s="65"/>
      <c r="E25" s="381"/>
      <c r="F25" s="381"/>
      <c r="G25" s="381"/>
      <c r="H25" s="65"/>
    </row>
    <row r="26" spans="1:10" x14ac:dyDescent="0.3">
      <c r="A26" s="110" t="s">
        <v>67</v>
      </c>
      <c r="B26" s="110">
        <f>SUM(B3:B22)</f>
        <v>0</v>
      </c>
      <c r="C26" s="382">
        <f>SUM(C3:C22)</f>
        <v>0</v>
      </c>
      <c r="D26" s="65"/>
      <c r="E26" s="381"/>
      <c r="F26" s="381"/>
      <c r="G26" s="381"/>
      <c r="H26" s="65"/>
    </row>
    <row r="27" spans="1:10" x14ac:dyDescent="0.3">
      <c r="A27" s="65"/>
      <c r="B27" s="366" t="s">
        <v>310</v>
      </c>
      <c r="C27" s="382">
        <f>B26-C26</f>
        <v>0</v>
      </c>
      <c r="D27" s="65"/>
      <c r="E27" s="65"/>
      <c r="F27" s="65"/>
      <c r="G27" s="65"/>
      <c r="H27" s="65"/>
    </row>
    <row r="28" spans="1:10" x14ac:dyDescent="0.3">
      <c r="A28" s="65"/>
      <c r="B28" s="65"/>
      <c r="C28" s="65"/>
      <c r="D28" s="65"/>
      <c r="E28" s="65"/>
      <c r="F28" s="130"/>
      <c r="G28" s="65"/>
      <c r="H28" s="65"/>
    </row>
    <row r="29" spans="1:10" x14ac:dyDescent="0.3">
      <c r="A29" s="65"/>
      <c r="B29" s="65"/>
      <c r="C29" s="65"/>
      <c r="D29" s="65"/>
      <c r="E29" s="383"/>
      <c r="F29" s="65"/>
      <c r="G29" s="65"/>
      <c r="H29" s="65"/>
    </row>
    <row r="30" spans="1:10" ht="15.6" x14ac:dyDescent="0.3">
      <c r="A30" s="137" t="s">
        <v>68</v>
      </c>
      <c r="B30" s="65"/>
      <c r="C30" s="65"/>
      <c r="D30" s="65"/>
      <c r="E30" s="65"/>
      <c r="F30" s="65"/>
      <c r="G30" s="65"/>
      <c r="H30" s="65"/>
    </row>
    <row r="31" spans="1:10" x14ac:dyDescent="0.3">
      <c r="A31" s="110" t="s">
        <v>282</v>
      </c>
      <c r="B31" s="110" t="s">
        <v>45</v>
      </c>
      <c r="C31" s="110" t="s">
        <v>281</v>
      </c>
      <c r="D31" s="110" t="s">
        <v>79</v>
      </c>
      <c r="E31" s="65"/>
      <c r="F31" s="65"/>
      <c r="G31" s="65"/>
      <c r="H31" s="65"/>
    </row>
    <row r="32" spans="1:10" x14ac:dyDescent="0.3">
      <c r="A32" s="384" t="s">
        <v>69</v>
      </c>
      <c r="B32" s="104" t="e" cm="1">
        <f t="array" ref="B32">SUM((RDP_Effectif[ETP moyen annuel])*(RDP_Effectif[Affectation]=$A$30)*($A32=_xlfn.XLOOKUP(RDP_Effectif[Carrière],Table4[Carrière],Table4[Equivalent carrière])))</f>
        <v>#N/A</v>
      </c>
      <c r="C32" s="104" t="e" cm="1">
        <f t="array" ref="C32">SUM((RDP_Effectif[Coût salaire annuel])*(RDP_Effectif[Affectation]=$A$30)*($A32=_xlfn.XLOOKUP(RDP_Effectif[Carrière],Table4[Carrière],Table4[Equivalent carrière])))</f>
        <v>#N/A</v>
      </c>
      <c r="D32" s="104" cm="1">
        <f t="array" ref="D32">IFERROR(SUM(
(RDP_Effectif[Ancienneté en nb d''années (au 31/12 ou date de sortie pour personnel sortant)])*
(RDP_Effectif[ETP moyen annuel])*
(RDP_Effectif[Affectation]=$A$30)*($A32=_xlfn.XLOOKUP(RDP_Effectif[Carrière],Table4[Carrière],Table4[Equivalent carrière])))/$B32,0)</f>
        <v>0</v>
      </c>
      <c r="E32" s="65"/>
      <c r="F32" s="65"/>
      <c r="G32" s="65"/>
      <c r="H32" s="65"/>
    </row>
    <row r="33" spans="1:9" x14ac:dyDescent="0.3">
      <c r="A33" s="384" t="s">
        <v>159</v>
      </c>
      <c r="B33" s="104" t="e" cm="1">
        <f t="array" ref="B33">SUM((RDP_Effectif[ETP moyen annuel])*(RDP_Effectif[Affectation]=$A$30)*($A33=_xlfn.XLOOKUP(RDP_Effectif[Carrière],Table4[Carrière],Table4[Equivalent carrière])))</f>
        <v>#N/A</v>
      </c>
      <c r="C33" s="104" t="e" cm="1">
        <f t="array" ref="C33">SUM((RDP_Effectif[Coût salaire annuel])*(RDP_Effectif[Affectation]=$A$30)*($A33=_xlfn.XLOOKUP(RDP_Effectif[Carrière],Table4[Carrière],Table4[Equivalent carrière])))</f>
        <v>#N/A</v>
      </c>
      <c r="D33" s="104" cm="1">
        <f t="array" ref="D33">IFERROR(SUM(
(RDP_Effectif[Ancienneté en nb d''années (au 31/12 ou date de sortie pour personnel sortant)])*
(RDP_Effectif[ETP moyen annuel])*
(RDP_Effectif[Affectation]=$A$30)*($A33=_xlfn.XLOOKUP(RDP_Effectif[Carrière],Table4[Carrière],Table4[Equivalent carrière])))/$B33,0)</f>
        <v>0</v>
      </c>
      <c r="E33" s="65"/>
      <c r="F33" s="65"/>
      <c r="G33" s="65"/>
      <c r="H33" s="65"/>
    </row>
    <row r="34" spans="1:9" x14ac:dyDescent="0.3">
      <c r="A34" s="384" t="s">
        <v>160</v>
      </c>
      <c r="B34" s="104" t="e" cm="1">
        <f t="array" ref="B34">SUM((RDP_Effectif[ETP moyen annuel])*(RDP_Effectif[Affectation]=$A$30)*($A34=_xlfn.XLOOKUP(RDP_Effectif[Carrière],Table4[Carrière],Table4[Equivalent carrière])))</f>
        <v>#N/A</v>
      </c>
      <c r="C34" s="104" t="e" cm="1">
        <f t="array" ref="C34">SUM((RDP_Effectif[Coût salaire annuel])*(RDP_Effectif[Affectation]=$A$30)*($A34=_xlfn.XLOOKUP(RDP_Effectif[Carrière],Table4[Carrière],Table4[Equivalent carrière])))</f>
        <v>#N/A</v>
      </c>
      <c r="D34" s="104" cm="1">
        <f t="array" ref="D34">IFERROR(SUM(
(RDP_Effectif[Ancienneté en nb d''années (au 31/12 ou date de sortie pour personnel sortant)])*
(RDP_Effectif[ETP moyen annuel])*
(RDP_Effectif[Affectation]=$A$30)*($A34=_xlfn.XLOOKUP(RDP_Effectif[Carrière],Table4[Carrière],Table4[Equivalent carrière])))/$B34,0)</f>
        <v>0</v>
      </c>
      <c r="E34" s="65"/>
      <c r="F34" s="65"/>
      <c r="G34" s="65"/>
      <c r="H34" s="65"/>
      <c r="I34" s="65"/>
    </row>
    <row r="35" spans="1:9" x14ac:dyDescent="0.3">
      <c r="A35" s="384" t="s">
        <v>161</v>
      </c>
      <c r="B35" s="104" t="e" cm="1">
        <f t="array" ref="B35">SUM((RDP_Effectif[ETP moyen annuel])*(RDP_Effectif[Affectation]=$A$30)*($A35=_xlfn.XLOOKUP(RDP_Effectif[Carrière],Table4[Carrière],Table4[Equivalent carrière])))</f>
        <v>#N/A</v>
      </c>
      <c r="C35" s="104" t="e" cm="1">
        <f t="array" ref="C35">SUM((RDP_Effectif[Coût salaire annuel])*(RDP_Effectif[Affectation]=$A$30)*($A35=_xlfn.XLOOKUP(RDP_Effectif[Carrière],Table4[Carrière],Table4[Equivalent carrière])))</f>
        <v>#N/A</v>
      </c>
      <c r="D35" s="104" cm="1">
        <f t="array" ref="D35">IFERROR(SUM(
(RDP_Effectif[Ancienneté en nb d''années (au 31/12 ou date de sortie pour personnel sortant)])*
(RDP_Effectif[ETP moyen annuel])*
(RDP_Effectif[Affectation]=$A$30)*($A35=_xlfn.XLOOKUP(RDP_Effectif[Carrière],Table4[Carrière],Table4[Equivalent carrière])))/$B35,0)</f>
        <v>0</v>
      </c>
      <c r="E35" s="65"/>
      <c r="F35" s="65"/>
      <c r="G35" s="65"/>
      <c r="H35" s="65"/>
    </row>
    <row r="36" spans="1:9" x14ac:dyDescent="0.3">
      <c r="A36" s="384" t="s">
        <v>162</v>
      </c>
      <c r="B36" s="104" t="e" cm="1">
        <f t="array" ref="B36">SUM((RDP_Effectif[ETP moyen annuel])*(RDP_Effectif[Affectation]=$A$30)*($A36=_xlfn.XLOOKUP(RDP_Effectif[Carrière],Table4[Carrière],Table4[Equivalent carrière])))</f>
        <v>#N/A</v>
      </c>
      <c r="C36" s="104" t="e" cm="1">
        <f t="array" ref="C36">SUM((RDP_Effectif[Coût salaire annuel])*(RDP_Effectif[Affectation]=$A$30)*($A36=_xlfn.XLOOKUP(RDP_Effectif[Carrière],Table4[Carrière],Table4[Equivalent carrière])))</f>
        <v>#N/A</v>
      </c>
      <c r="D36" s="104" cm="1">
        <f t="array" ref="D36">IFERROR(SUM(
(RDP_Effectif[Ancienneté en nb d''années (au 31/12 ou date de sortie pour personnel sortant)])*
(RDP_Effectif[ETP moyen annuel])*
(RDP_Effectif[Affectation]=$A$30)*($A36=_xlfn.XLOOKUP(RDP_Effectif[Carrière],Table4[Carrière],Table4[Equivalent carrière])))/$B36,0)</f>
        <v>0</v>
      </c>
      <c r="E36" s="65"/>
      <c r="F36" s="65"/>
      <c r="G36" s="65"/>
      <c r="H36" s="65"/>
    </row>
    <row r="37" spans="1:9" x14ac:dyDescent="0.3">
      <c r="A37" s="384" t="s">
        <v>70</v>
      </c>
      <c r="B37" s="104" t="e" cm="1">
        <f t="array" ref="B37">SUM((RDP_Effectif[ETP moyen annuel])*(RDP_Effectif[Affectation]=$A$30)*($A37=_xlfn.XLOOKUP(RDP_Effectif[Carrière],Table4[Carrière],Table4[Equivalent carrière])))</f>
        <v>#N/A</v>
      </c>
      <c r="C37" s="104" t="e" cm="1">
        <f t="array" ref="C37">SUM((RDP_Effectif[Coût salaire annuel])*(RDP_Effectif[Affectation]=$A$30)*($A37=_xlfn.XLOOKUP(RDP_Effectif[Carrière],Table4[Carrière],Table4[Equivalent carrière])))</f>
        <v>#N/A</v>
      </c>
      <c r="D37" s="104" cm="1">
        <f t="array" ref="D37">IFERROR(SUM(
(RDP_Effectif[Ancienneté en nb d''années (au 31/12 ou date de sortie pour personnel sortant)])*
(RDP_Effectif[ETP moyen annuel])*
(RDP_Effectif[Affectation]=$A$30)*($A37=_xlfn.XLOOKUP(RDP_Effectif[Carrière],Table4[Carrière],Table4[Equivalent carrière])))/$B37,0)</f>
        <v>0</v>
      </c>
      <c r="E37" s="65"/>
      <c r="F37" s="65"/>
      <c r="G37" s="65"/>
      <c r="H37" s="65"/>
    </row>
    <row r="38" spans="1:9" x14ac:dyDescent="0.3">
      <c r="A38" s="384" t="s">
        <v>71</v>
      </c>
      <c r="B38" s="104" t="e" cm="1">
        <f t="array" ref="B38">SUM((RDP_Effectif[ETP moyen annuel])*(RDP_Effectif[Affectation]=$A$30)*($A38=_xlfn.XLOOKUP(RDP_Effectif[Carrière],Table4[Carrière],Table4[Equivalent carrière])))</f>
        <v>#N/A</v>
      </c>
      <c r="C38" s="104" t="e" cm="1">
        <f t="array" ref="C38">SUM((RDP_Effectif[Coût salaire annuel])*(RDP_Effectif[Affectation]=$A$30)*($A38=_xlfn.XLOOKUP(RDP_Effectif[Carrière],Table4[Carrière],Table4[Equivalent carrière])))</f>
        <v>#N/A</v>
      </c>
      <c r="D38" s="104" cm="1">
        <f t="array" ref="D38">IFERROR(SUM(
(RDP_Effectif[Ancienneté en nb d''années (au 31/12 ou date de sortie pour personnel sortant)])*
(RDP_Effectif[ETP moyen annuel])*
(RDP_Effectif[Affectation]=$A$30)*($A38=_xlfn.XLOOKUP(RDP_Effectif[Carrière],Table4[Carrière],Table4[Equivalent carrière])))/$B38,0)</f>
        <v>0</v>
      </c>
      <c r="E38" s="65"/>
      <c r="F38" s="65"/>
      <c r="G38" s="65"/>
      <c r="H38" s="65"/>
    </row>
    <row r="39" spans="1:9" x14ac:dyDescent="0.3">
      <c r="A39" s="384" t="s">
        <v>179</v>
      </c>
      <c r="B39" s="104" t="e" cm="1">
        <f t="array" ref="B39">SUM((RDP_Effectif[ETP moyen annuel])*(RDP_Effectif[Affectation]=$A$30)*($A39=_xlfn.XLOOKUP(RDP_Effectif[Carrière],Table4[Carrière],Table4[Equivalent carrière])))</f>
        <v>#N/A</v>
      </c>
      <c r="C39" s="104" t="e" cm="1">
        <f t="array" ref="C39">SUM((RDP_Effectif[Coût salaire annuel])*(RDP_Effectif[Affectation]=$A$30)*($A39=_xlfn.XLOOKUP(RDP_Effectif[Carrière],Table4[Carrière],Table4[Equivalent carrière])))</f>
        <v>#N/A</v>
      </c>
      <c r="D39" s="104" cm="1">
        <f t="array" ref="D39">IFERROR(SUM(
(RDP_Effectif[Ancienneté en nb d''années (au 31/12 ou date de sortie pour personnel sortant)])*
(RDP_Effectif[ETP moyen annuel])*
(RDP_Effectif[Affectation]=$A$30)*($A39=_xlfn.XLOOKUP(RDP_Effectif[Carrière],Table4[Carrière],Table4[Equivalent carrière])))/$B39,0)</f>
        <v>0</v>
      </c>
      <c r="E39" s="65"/>
      <c r="F39" s="65"/>
      <c r="G39" s="65"/>
      <c r="H39" s="65"/>
    </row>
    <row r="40" spans="1:9" x14ac:dyDescent="0.3">
      <c r="A40" s="384" t="s">
        <v>72</v>
      </c>
      <c r="B40" s="104" t="e" cm="1">
        <f t="array" ref="B40">SUM((RDP_Effectif[ETP moyen annuel])*(RDP_Effectif[Affectation]=$A$30)*($A40=_xlfn.XLOOKUP(RDP_Effectif[Carrière],Table4[Carrière],Table4[Equivalent carrière])))</f>
        <v>#N/A</v>
      </c>
      <c r="C40" s="104" t="e" cm="1">
        <f t="array" ref="C40">SUM((RDP_Effectif[Coût salaire annuel])*(RDP_Effectif[Affectation]=$A$30)*($A40=_xlfn.XLOOKUP(RDP_Effectif[Carrière],Table4[Carrière],Table4[Equivalent carrière])))</f>
        <v>#N/A</v>
      </c>
      <c r="D40" s="104" cm="1">
        <f t="array" ref="D40">IFERROR(SUM(
(RDP_Effectif[Ancienneté en nb d''années (au 31/12 ou date de sortie pour personnel sortant)])*
(RDP_Effectif[ETP moyen annuel])*
(RDP_Effectif[Affectation]=$A$30)*($A40=_xlfn.XLOOKUP(RDP_Effectif[Carrière],Table4[Carrière],Table4[Equivalent carrière])))/$B40,0)</f>
        <v>0</v>
      </c>
      <c r="E40" s="65"/>
      <c r="F40" s="65"/>
      <c r="G40" s="65"/>
      <c r="H40" s="65"/>
    </row>
    <row r="41" spans="1:9" x14ac:dyDescent="0.3">
      <c r="A41" s="384" t="s">
        <v>73</v>
      </c>
      <c r="B41" s="104" t="e" cm="1">
        <f t="array" ref="B41">SUM((RDP_Effectif[ETP moyen annuel])*(RDP_Effectif[Affectation]=$A$30)*($A41=_xlfn.XLOOKUP(RDP_Effectif[Carrière],Table4[Carrière],Table4[Equivalent carrière])))</f>
        <v>#N/A</v>
      </c>
      <c r="C41" s="104" t="e" cm="1">
        <f t="array" ref="C41">SUM((RDP_Effectif[Coût salaire annuel])*(RDP_Effectif[Affectation]=$A$30)*($A41=_xlfn.XLOOKUP(RDP_Effectif[Carrière],Table4[Carrière],Table4[Equivalent carrière])))</f>
        <v>#N/A</v>
      </c>
      <c r="D41" s="104" cm="1">
        <f t="array" ref="D41">IFERROR(SUM(
(RDP_Effectif[Ancienneté en nb d''années (au 31/12 ou date de sortie pour personnel sortant)])*
(RDP_Effectif[ETP moyen annuel])*
(RDP_Effectif[Affectation]=$A$30)*($A41=_xlfn.XLOOKUP(RDP_Effectif[Carrière],Table4[Carrière],Table4[Equivalent carrière])))/$B41,0)</f>
        <v>0</v>
      </c>
      <c r="E41" s="65"/>
      <c r="F41" s="104" t="s">
        <v>307</v>
      </c>
      <c r="G41" s="104" t="s">
        <v>305</v>
      </c>
      <c r="H41" s="65"/>
    </row>
    <row r="42" spans="1:9" x14ac:dyDescent="0.3">
      <c r="A42" s="110" t="s">
        <v>67</v>
      </c>
      <c r="B42" s="110" t="e">
        <f>SUM(B32:B41)</f>
        <v>#N/A</v>
      </c>
      <c r="C42" s="382" t="e">
        <f>SUM(C32:C41)</f>
        <v>#N/A</v>
      </c>
      <c r="D42" s="110" t="e">
        <f>IF(B42=0,"",(SUMPRODUCT(B32:B41,D32:D41))/B42)</f>
        <v>#N/A</v>
      </c>
      <c r="E42" s="65"/>
      <c r="F42" s="385" t="e">
        <f>C42/C26</f>
        <v>#N/A</v>
      </c>
      <c r="G42" s="104" t="e">
        <f>F42-FP42</f>
        <v>#N/A</v>
      </c>
      <c r="H42" s="65"/>
    </row>
    <row r="43" spans="1:9" x14ac:dyDescent="0.3">
      <c r="A43" s="65"/>
      <c r="B43" s="130"/>
      <c r="C43" s="130"/>
      <c r="D43" s="65"/>
      <c r="E43" s="65"/>
      <c r="F43" s="65"/>
      <c r="G43" s="65"/>
      <c r="H43" s="65"/>
    </row>
    <row r="44" spans="1:9" ht="15.6" x14ac:dyDescent="0.3">
      <c r="A44" s="137" t="s">
        <v>164</v>
      </c>
      <c r="B44" s="65"/>
      <c r="C44" s="65"/>
      <c r="D44" s="65"/>
      <c r="E44" s="65"/>
      <c r="F44" s="65"/>
      <c r="G44" s="65"/>
      <c r="H44" s="65"/>
    </row>
    <row r="45" spans="1:9" x14ac:dyDescent="0.3">
      <c r="A45" s="110" t="s">
        <v>282</v>
      </c>
      <c r="B45" s="110" t="s">
        <v>45</v>
      </c>
      <c r="C45" s="110" t="s">
        <v>281</v>
      </c>
      <c r="D45" s="110" t="s">
        <v>79</v>
      </c>
      <c r="E45" s="65"/>
      <c r="F45" s="65"/>
      <c r="G45" s="65"/>
      <c r="H45" s="65"/>
    </row>
    <row r="46" spans="1:9" x14ac:dyDescent="0.3">
      <c r="A46" s="386" t="s">
        <v>69</v>
      </c>
      <c r="B46" s="387" t="e" cm="1">
        <f t="array" ref="B46">SUM((RDP_Effectif[ETP moyen annuel])*(RDP_Effectif[Affectation]=$A$44)*($A46=_xlfn.XLOOKUP(RDP_Effectif[Carrière],Table4[Carrière],Table4[Equivalent carrière])))</f>
        <v>#N/A</v>
      </c>
      <c r="C46" s="387" t="e" cm="1">
        <f t="array" ref="C46">SUM((RDP_Effectif[Coût salaire annuel])*(RDP_Effectif[Affectation]=$A$44)*($A46=_xlfn.XLOOKUP(RDP_Effectif[Carrière],Table4[Carrière],Table4[Equivalent carrière])))</f>
        <v>#N/A</v>
      </c>
      <c r="D46" s="104" cm="1">
        <f t="array" ref="D46">IFERROR(SUM(
(RDP_Effectif[Ancienneté en nb d''années (au 31/12 ou date de sortie pour personnel sortant)])*
(RDP_Effectif[ETP moyen annuel])*
(RDP_Effectif[Affectation]=$A$44)*($A46=_xlfn.XLOOKUP(RDP_Effectif[Carrière],Table4[Carrière],Table4[Equivalent carrière])))/$B46,0)</f>
        <v>0</v>
      </c>
      <c r="E46" s="65"/>
      <c r="F46" s="65"/>
      <c r="G46" s="65"/>
      <c r="H46" s="65"/>
    </row>
    <row r="47" spans="1:9" x14ac:dyDescent="0.3">
      <c r="A47" s="388" t="s">
        <v>159</v>
      </c>
      <c r="B47" s="387" t="e" cm="1">
        <f t="array" ref="B47">SUM((RDP_Effectif[ETP moyen annuel])*(RDP_Effectif[Affectation]=$A$44)*($A47=_xlfn.XLOOKUP(RDP_Effectif[Carrière],Table4[Carrière],Table4[Equivalent carrière])))</f>
        <v>#N/A</v>
      </c>
      <c r="C47" s="387" t="e" cm="1">
        <f t="array" ref="C47">SUM((RDP_Effectif[Coût salaire annuel])*(RDP_Effectif[Affectation]=$A$44)*($A47=_xlfn.XLOOKUP(RDP_Effectif[Carrière],Table4[Carrière],Table4[Equivalent carrière])))</f>
        <v>#N/A</v>
      </c>
      <c r="D47" s="104" cm="1">
        <f t="array" ref="D47">IFERROR(SUM(
(RDP_Effectif[Ancienneté en nb d''années (au 31/12 ou date de sortie pour personnel sortant)])*
(RDP_Effectif[ETP moyen annuel])*
(RDP_Effectif[Affectation]=$A$44)*($A47=_xlfn.XLOOKUP(RDP_Effectif[Carrière],Table4[Carrière],Table4[Equivalent carrière])))/$B47,0)</f>
        <v>0</v>
      </c>
      <c r="E47" s="65"/>
      <c r="F47" s="65"/>
      <c r="G47" s="65"/>
      <c r="H47" s="65"/>
    </row>
    <row r="48" spans="1:9" x14ac:dyDescent="0.3">
      <c r="A48" s="388" t="s">
        <v>160</v>
      </c>
      <c r="B48" s="387" t="e" cm="1">
        <f t="array" ref="B48">SUM((RDP_Effectif[ETP moyen annuel])*(RDP_Effectif[Affectation]=$A$44)*($A48=_xlfn.XLOOKUP(RDP_Effectif[Carrière],Table4[Carrière],Table4[Equivalent carrière])))</f>
        <v>#N/A</v>
      </c>
      <c r="C48" s="387" t="e" cm="1">
        <f t="array" ref="C48">SUM((RDP_Effectif[Coût salaire annuel])*(RDP_Effectif[Affectation]=$A$44)*($A48=_xlfn.XLOOKUP(RDP_Effectif[Carrière],Table4[Carrière],Table4[Equivalent carrière])))</f>
        <v>#N/A</v>
      </c>
      <c r="D48" s="104" cm="1">
        <f t="array" ref="D48">IFERROR(SUM(
(RDP_Effectif[Ancienneté en nb d''années (au 31/12 ou date de sortie pour personnel sortant)])*
(RDP_Effectif[ETP moyen annuel])*
(RDP_Effectif[Affectation]=$A$44)*($A48=_xlfn.XLOOKUP(RDP_Effectif[Carrière],Table4[Carrière],Table4[Equivalent carrière])))/$B48,0)</f>
        <v>0</v>
      </c>
      <c r="E48" s="65"/>
      <c r="F48" s="65"/>
      <c r="G48" s="65"/>
      <c r="H48" s="65"/>
    </row>
    <row r="49" spans="1:8" x14ac:dyDescent="0.3">
      <c r="A49" s="388" t="s">
        <v>161</v>
      </c>
      <c r="B49" s="387" t="e" cm="1">
        <f t="array" ref="B49">SUM((RDP_Effectif[ETP moyen annuel])*(RDP_Effectif[Affectation]=$A$44)*($A49=_xlfn.XLOOKUP(RDP_Effectif[Carrière],Table4[Carrière],Table4[Equivalent carrière])))</f>
        <v>#N/A</v>
      </c>
      <c r="C49" s="387" t="e" cm="1">
        <f t="array" ref="C49">SUM((RDP_Effectif[Coût salaire annuel])*(RDP_Effectif[Affectation]=$A$44)*($A49=_xlfn.XLOOKUP(RDP_Effectif[Carrière],Table4[Carrière],Table4[Equivalent carrière])))</f>
        <v>#N/A</v>
      </c>
      <c r="D49" s="104" cm="1">
        <f t="array" ref="D49">IFERROR(SUM(
(RDP_Effectif[Ancienneté en nb d''années (au 31/12 ou date de sortie pour personnel sortant)])*
(RDP_Effectif[ETP moyen annuel])*
(RDP_Effectif[Affectation]=$A$44)*($A49=_xlfn.XLOOKUP(RDP_Effectif[Carrière],Table4[Carrière],Table4[Equivalent carrière])))/$B49,0)</f>
        <v>0</v>
      </c>
      <c r="E49" s="65"/>
      <c r="F49" s="65"/>
      <c r="G49" s="65"/>
      <c r="H49" s="65"/>
    </row>
    <row r="50" spans="1:8" x14ac:dyDescent="0.3">
      <c r="A50" s="388" t="s">
        <v>162</v>
      </c>
      <c r="B50" s="387" t="e" cm="1">
        <f t="array" ref="B50">SUM((RDP_Effectif[ETP moyen annuel])*(RDP_Effectif[Affectation]=$A$44)*($A50=_xlfn.XLOOKUP(RDP_Effectif[Carrière],Table4[Carrière],Table4[Equivalent carrière])))</f>
        <v>#N/A</v>
      </c>
      <c r="C50" s="387" t="e" cm="1">
        <f t="array" ref="C50">SUM((RDP_Effectif[Coût salaire annuel])*(RDP_Effectif[Affectation]=$A$44)*($A50=_xlfn.XLOOKUP(RDP_Effectif[Carrière],Table4[Carrière],Table4[Equivalent carrière])))</f>
        <v>#N/A</v>
      </c>
      <c r="D50" s="104" cm="1">
        <f t="array" ref="D50">IFERROR(SUM(
(RDP_Effectif[Ancienneté en nb d''années (au 31/12 ou date de sortie pour personnel sortant)])*
(RDP_Effectif[ETP moyen annuel])*
(RDP_Effectif[Affectation]=$A$44)*($A50=_xlfn.XLOOKUP(RDP_Effectif[Carrière],Table4[Carrière],Table4[Equivalent carrière])))/$B50,0)</f>
        <v>0</v>
      </c>
      <c r="E50" s="65"/>
      <c r="F50" s="65"/>
      <c r="G50" s="65"/>
      <c r="H50" s="65"/>
    </row>
    <row r="51" spans="1:8" x14ac:dyDescent="0.3">
      <c r="A51" s="388" t="s">
        <v>70</v>
      </c>
      <c r="B51" s="387" t="e" cm="1">
        <f t="array" ref="B51">SUM((RDP_Effectif[ETP moyen annuel])*(RDP_Effectif[Affectation]=$A$44)*($A51=_xlfn.XLOOKUP(RDP_Effectif[Carrière],Table4[Carrière],Table4[Equivalent carrière])))</f>
        <v>#N/A</v>
      </c>
      <c r="C51" s="387" t="e" cm="1">
        <f t="array" ref="C51">SUM((RDP_Effectif[Coût salaire annuel])*(RDP_Effectif[Affectation]=$A$44)*($A51=_xlfn.XLOOKUP(RDP_Effectif[Carrière],Table4[Carrière],Table4[Equivalent carrière])))</f>
        <v>#N/A</v>
      </c>
      <c r="D51" s="104" cm="1">
        <f t="array" ref="D51">IFERROR(SUM(
(RDP_Effectif[Ancienneté en nb d''années (au 31/12 ou date de sortie pour personnel sortant)])*
(RDP_Effectif[ETP moyen annuel])*
(RDP_Effectif[Affectation]=$A$44)*($A51=_xlfn.XLOOKUP(RDP_Effectif[Carrière],Table4[Carrière],Table4[Equivalent carrière])))/$B51,0)</f>
        <v>0</v>
      </c>
      <c r="E51" s="65"/>
      <c r="F51" s="130"/>
      <c r="G51" s="65"/>
      <c r="H51" s="65"/>
    </row>
    <row r="52" spans="1:8" x14ac:dyDescent="0.3">
      <c r="A52" s="388" t="s">
        <v>71</v>
      </c>
      <c r="B52" s="387" t="e" cm="1">
        <f t="array" ref="B52">SUM((RDP_Effectif[ETP moyen annuel])*(RDP_Effectif[Affectation]=$A$44)*($A52=_xlfn.XLOOKUP(RDP_Effectif[Carrière],Table4[Carrière],Table4[Equivalent carrière])))</f>
        <v>#N/A</v>
      </c>
      <c r="C52" s="387" t="e" cm="1">
        <f t="array" ref="C52">SUM((RDP_Effectif[Coût salaire annuel])*(RDP_Effectif[Affectation]=$A$44)*($A52=_xlfn.XLOOKUP(RDP_Effectif[Carrière],Table4[Carrière],Table4[Equivalent carrière])))</f>
        <v>#N/A</v>
      </c>
      <c r="D52" s="104" cm="1">
        <f t="array" ref="D52">IFERROR(SUM(
(RDP_Effectif[Ancienneté en nb d''années (au 31/12 ou date de sortie pour personnel sortant)])*
(RDP_Effectif[ETP moyen annuel])*
(RDP_Effectif[Affectation]=$A$44)*($A52=_xlfn.XLOOKUP(RDP_Effectif[Carrière],Table4[Carrière],Table4[Equivalent carrière])))/$B52,0)</f>
        <v>0</v>
      </c>
      <c r="E52" s="65"/>
      <c r="F52" s="130"/>
      <c r="G52" s="65"/>
      <c r="H52" s="65"/>
    </row>
    <row r="53" spans="1:8" x14ac:dyDescent="0.3">
      <c r="A53" s="388" t="s">
        <v>179</v>
      </c>
      <c r="B53" s="387" t="e" cm="1">
        <f t="array" ref="B53">SUM((RDP_Effectif[ETP moyen annuel])*(RDP_Effectif[Affectation]=$A$44)*($A53=_xlfn.XLOOKUP(RDP_Effectif[Carrière],Table4[Carrière],Table4[Equivalent carrière])))</f>
        <v>#N/A</v>
      </c>
      <c r="C53" s="387" t="e" cm="1">
        <f t="array" ref="C53">SUM((RDP_Effectif[Coût salaire annuel])*(RDP_Effectif[Affectation]=$A$44)*($A53=_xlfn.XLOOKUP(RDP_Effectif[Carrière],Table4[Carrière],Table4[Equivalent carrière])))</f>
        <v>#N/A</v>
      </c>
      <c r="D53" s="104" cm="1">
        <f t="array" ref="D53">IFERROR(SUM(
(RDP_Effectif[Ancienneté en nb d''années (au 31/12 ou date de sortie pour personnel sortant)])*
(RDP_Effectif[ETP moyen annuel])*
(RDP_Effectif[Affectation]=$A$44)*($A53=_xlfn.XLOOKUP(RDP_Effectif[Carrière],Table4[Carrière],Table4[Equivalent carrière])))/$B53,0)</f>
        <v>0</v>
      </c>
      <c r="E53" s="65"/>
      <c r="F53" s="130"/>
      <c r="G53" s="65"/>
      <c r="H53" s="65"/>
    </row>
    <row r="54" spans="1:8" x14ac:dyDescent="0.3">
      <c r="A54" s="388" t="s">
        <v>72</v>
      </c>
      <c r="B54" s="387" t="e" cm="1">
        <f t="array" ref="B54">SUM((RDP_Effectif[ETP moyen annuel])*(RDP_Effectif[Affectation]=$A$44)*($A54=_xlfn.XLOOKUP(RDP_Effectif[Carrière],Table4[Carrière],Table4[Equivalent carrière])))</f>
        <v>#N/A</v>
      </c>
      <c r="C54" s="387" t="e" cm="1">
        <f t="array" ref="C54">SUM((RDP_Effectif[Coût salaire annuel])*(RDP_Effectif[Affectation]=$A$44)*($A54=_xlfn.XLOOKUP(RDP_Effectif[Carrière],Table4[Carrière],Table4[Equivalent carrière])))</f>
        <v>#N/A</v>
      </c>
      <c r="D54" s="104" cm="1">
        <f t="array" ref="D54">IFERROR(SUM(
(RDP_Effectif[Ancienneté en nb d''années (au 31/12 ou date de sortie pour personnel sortant)])*
(RDP_Effectif[ETP moyen annuel])*
(RDP_Effectif[Affectation]=$A$44)*($A54=_xlfn.XLOOKUP(RDP_Effectif[Carrière],Table4[Carrière],Table4[Equivalent carrière])))/$B54,0)</f>
        <v>0</v>
      </c>
      <c r="E54" s="65"/>
      <c r="F54" s="130"/>
      <c r="G54" s="65"/>
      <c r="H54" s="65"/>
    </row>
    <row r="55" spans="1:8" x14ac:dyDescent="0.3">
      <c r="A55" s="388" t="s">
        <v>73</v>
      </c>
      <c r="B55" s="387" t="e" cm="1">
        <f t="array" ref="B55">SUM((RDP_Effectif[ETP moyen annuel])*(RDP_Effectif[Affectation]=$A$44)*($A55=_xlfn.XLOOKUP(RDP_Effectif[Carrière],Table4[Carrière],Table4[Equivalent carrière])))</f>
        <v>#N/A</v>
      </c>
      <c r="C55" s="387" t="e" cm="1">
        <f t="array" ref="C55">SUM((RDP_Effectif[Coût salaire annuel])*(RDP_Effectif[Affectation]=$A$44)*($A55=_xlfn.XLOOKUP(RDP_Effectif[Carrière],Table4[Carrière],Table4[Equivalent carrière])))</f>
        <v>#N/A</v>
      </c>
      <c r="D55" s="104" cm="1">
        <f t="array" ref="D55">IFERROR(SUM(
(RDP_Effectif[Ancienneté en nb d''années (au 31/12 ou date de sortie pour personnel sortant)])*
(RDP_Effectif[ETP moyen annuel])*
(RDP_Effectif[Affectation]=$A$44)*($A55=_xlfn.XLOOKUP(RDP_Effectif[Carrière],Table4[Carrière],Table4[Equivalent carrière])))/$B55,0)</f>
        <v>0</v>
      </c>
      <c r="E55" s="65"/>
      <c r="F55" s="104" t="s">
        <v>307</v>
      </c>
      <c r="G55" s="104" t="s">
        <v>305</v>
      </c>
      <c r="H55" s="65"/>
    </row>
    <row r="56" spans="1:8" x14ac:dyDescent="0.3">
      <c r="A56" s="110" t="s">
        <v>67</v>
      </c>
      <c r="B56" s="110" t="e">
        <f>SUM(B46:B55)</f>
        <v>#N/A</v>
      </c>
      <c r="C56" s="127" t="e">
        <f>SUM(C46:C55)</f>
        <v>#N/A</v>
      </c>
      <c r="D56" s="110" t="e">
        <f>IF(B56=0,"",(SUMPRODUCT(B46:B55,D46:D55))/B56)</f>
        <v>#N/A</v>
      </c>
      <c r="E56" s="65"/>
      <c r="F56" s="385" t="e">
        <f>C56/C26</f>
        <v>#N/A</v>
      </c>
      <c r="G56" s="104" t="e">
        <f>F56-FP56</f>
        <v>#N/A</v>
      </c>
      <c r="H56" s="65"/>
    </row>
    <row r="57" spans="1:8" x14ac:dyDescent="0.3">
      <c r="A57" s="389"/>
      <c r="B57" s="130"/>
      <c r="C57" s="130" t="s">
        <v>309</v>
      </c>
      <c r="D57" s="65"/>
      <c r="E57" s="65"/>
      <c r="F57" s="130"/>
      <c r="G57" s="65"/>
      <c r="H57" s="65"/>
    </row>
    <row r="58" spans="1:8" ht="16.95" customHeight="1" x14ac:dyDescent="0.3">
      <c r="A58" s="137" t="s">
        <v>163</v>
      </c>
      <c r="B58" s="65"/>
      <c r="C58" s="130"/>
      <c r="D58" s="65"/>
      <c r="E58" s="65"/>
      <c r="F58" s="65"/>
      <c r="G58" s="65"/>
      <c r="H58" s="65"/>
    </row>
    <row r="59" spans="1:8" x14ac:dyDescent="0.3">
      <c r="A59" s="110" t="s">
        <v>282</v>
      </c>
      <c r="B59" s="110" t="s">
        <v>45</v>
      </c>
      <c r="C59" s="110" t="s">
        <v>281</v>
      </c>
      <c r="D59" s="110" t="s">
        <v>79</v>
      </c>
      <c r="E59" s="65"/>
      <c r="F59" s="65"/>
      <c r="G59" s="65"/>
      <c r="H59" s="65"/>
    </row>
    <row r="60" spans="1:8" x14ac:dyDescent="0.3">
      <c r="A60" s="384" t="s">
        <v>69</v>
      </c>
      <c r="B60" s="387" t="e" cm="1">
        <f t="array" ref="B60">SUM((RDP_Effectif[ETP moyen annuel])*(RDP_Effectif[Affectation]=$A$58)*($A60=_xlfn.XLOOKUP(RDP_Effectif[Carrière],Table4[Carrière],Table4[Equivalent carrière])))</f>
        <v>#N/A</v>
      </c>
      <c r="C60" s="387" t="e" cm="1">
        <f t="array" ref="C60">SUM((RDP_Effectif[Coût salaire annuel])*(RDP_Effectif[Affectation]=$A$58)*($A60=_xlfn.XLOOKUP(RDP_Effectif[Carrière],Table4[Carrière],Table4[Equivalent carrière])))</f>
        <v>#N/A</v>
      </c>
      <c r="D60" s="104" cm="1">
        <f t="array" ref="D60">IFERROR(SUM(
(RDP_Effectif[Ancienneté en nb d''années (au 31/12 ou date de sortie pour personnel sortant)])*
(RDP_Effectif[ETP moyen annuel])*
(RDP_Effectif[Affectation]=$A$58)*($A60=_xlfn.XLOOKUP(RDP_Effectif[Carrière],Table4[Carrière],Table4[Equivalent carrière])))/$B60,0)</f>
        <v>0</v>
      </c>
      <c r="E60" s="65"/>
      <c r="F60" s="65"/>
      <c r="G60" s="65"/>
      <c r="H60" s="65"/>
    </row>
    <row r="61" spans="1:8" x14ac:dyDescent="0.3">
      <c r="A61" s="384" t="s">
        <v>159</v>
      </c>
      <c r="B61" s="387" t="e" cm="1">
        <f t="array" ref="B61">SUM((RDP_Effectif[ETP moyen annuel])*(RDP_Effectif[Affectation]=$A$58)*($A61=_xlfn.XLOOKUP(RDP_Effectif[Carrière],Table4[Carrière],Table4[Equivalent carrière])))</f>
        <v>#N/A</v>
      </c>
      <c r="C61" s="387" t="e" cm="1">
        <f t="array" ref="C61">SUM((RDP_Effectif[Coût salaire annuel])*(RDP_Effectif[Affectation]=$A$58)*($A61=_xlfn.XLOOKUP(RDP_Effectif[Carrière],Table4[Carrière],Table4[Equivalent carrière])))</f>
        <v>#N/A</v>
      </c>
      <c r="D61" s="104" cm="1">
        <f t="array" ref="D61">IFERROR(SUM(
(RDP_Effectif[Ancienneté en nb d''années (au 31/12 ou date de sortie pour personnel sortant)])*
(RDP_Effectif[ETP moyen annuel])*
(RDP_Effectif[Affectation]=$A$58)*($A61=_xlfn.XLOOKUP(RDP_Effectif[Carrière],Table4[Carrière],Table4[Equivalent carrière])))/$B61,0)</f>
        <v>0</v>
      </c>
      <c r="E61" s="65"/>
      <c r="F61" s="65"/>
      <c r="G61" s="65"/>
      <c r="H61" s="65"/>
    </row>
    <row r="62" spans="1:8" x14ac:dyDescent="0.3">
      <c r="A62" s="384" t="s">
        <v>160</v>
      </c>
      <c r="B62" s="387" t="e" cm="1">
        <f t="array" ref="B62">SUM((RDP_Effectif[ETP moyen annuel])*(RDP_Effectif[Affectation]=$A$58)*($A62=_xlfn.XLOOKUP(RDP_Effectif[Carrière],Table4[Carrière],Table4[Equivalent carrière])))</f>
        <v>#N/A</v>
      </c>
      <c r="C62" s="387" t="e" cm="1">
        <f t="array" ref="C62">SUM((RDP_Effectif[Coût salaire annuel])*(RDP_Effectif[Affectation]=$A$58)*($A62=_xlfn.XLOOKUP(RDP_Effectif[Carrière],Table4[Carrière],Table4[Equivalent carrière])))</f>
        <v>#N/A</v>
      </c>
      <c r="D62" s="104" cm="1">
        <f t="array" ref="D62">IFERROR(SUM(
(RDP_Effectif[Ancienneté en nb d''années (au 31/12 ou date de sortie pour personnel sortant)])*
(RDP_Effectif[ETP moyen annuel])*
(RDP_Effectif[Affectation]=$A$58)*($A62=_xlfn.XLOOKUP(RDP_Effectif[Carrière],Table4[Carrière],Table4[Equivalent carrière])))/$B62,0)</f>
        <v>0</v>
      </c>
      <c r="E62" s="65"/>
      <c r="F62" s="65"/>
      <c r="G62" s="65"/>
      <c r="H62" s="65"/>
    </row>
    <row r="63" spans="1:8" x14ac:dyDescent="0.3">
      <c r="A63" s="384" t="s">
        <v>161</v>
      </c>
      <c r="B63" s="387" t="e" cm="1">
        <f t="array" ref="B63">SUM((RDP_Effectif[ETP moyen annuel])*(RDP_Effectif[Affectation]=$A$58)*($A63=_xlfn.XLOOKUP(RDP_Effectif[Carrière],Table4[Carrière],Table4[Equivalent carrière])))</f>
        <v>#N/A</v>
      </c>
      <c r="C63" s="387" t="e" cm="1">
        <f t="array" ref="C63">SUM((RDP_Effectif[Coût salaire annuel])*(RDP_Effectif[Affectation]=$A$58)*($A63=_xlfn.XLOOKUP(RDP_Effectif[Carrière],Table4[Carrière],Table4[Equivalent carrière])))</f>
        <v>#N/A</v>
      </c>
      <c r="D63" s="104" cm="1">
        <f t="array" ref="D63">IFERROR(SUM(
(RDP_Effectif[Ancienneté en nb d''années (au 31/12 ou date de sortie pour personnel sortant)])*
(RDP_Effectif[ETP moyen annuel])*
(RDP_Effectif[Affectation]=$A$58)*($A63=_xlfn.XLOOKUP(RDP_Effectif[Carrière],Table4[Carrière],Table4[Equivalent carrière])))/$B63,0)</f>
        <v>0</v>
      </c>
      <c r="E63" s="65"/>
      <c r="F63" s="65"/>
      <c r="G63" s="65"/>
      <c r="H63" s="65"/>
    </row>
    <row r="64" spans="1:8" x14ac:dyDescent="0.3">
      <c r="A64" s="384" t="s">
        <v>162</v>
      </c>
      <c r="B64" s="387" t="e" cm="1">
        <f t="array" ref="B64">SUM((RDP_Effectif[ETP moyen annuel])*(RDP_Effectif[Affectation]=$A$58)*($A64=_xlfn.XLOOKUP(RDP_Effectif[Carrière],Table4[Carrière],Table4[Equivalent carrière])))</f>
        <v>#N/A</v>
      </c>
      <c r="C64" s="387" t="e" cm="1">
        <f t="array" ref="C64">SUM((RDP_Effectif[Coût salaire annuel])*(RDP_Effectif[Affectation]=$A$58)*($A64=_xlfn.XLOOKUP(RDP_Effectif[Carrière],Table4[Carrière],Table4[Equivalent carrière])))</f>
        <v>#N/A</v>
      </c>
      <c r="D64" s="104" cm="1">
        <f t="array" ref="D64">IFERROR(SUM(
(RDP_Effectif[Ancienneté en nb d''années (au 31/12 ou date de sortie pour personnel sortant)])*
(RDP_Effectif[ETP moyen annuel])*
(RDP_Effectif[Affectation]=$A$58)*($A64=_xlfn.XLOOKUP(RDP_Effectif[Carrière],Table4[Carrière],Table4[Equivalent carrière])))/$B64,0)</f>
        <v>0</v>
      </c>
      <c r="E64" s="65"/>
      <c r="F64" s="65"/>
      <c r="G64" s="65"/>
      <c r="H64" s="65"/>
    </row>
    <row r="65" spans="1:8" x14ac:dyDescent="0.3">
      <c r="A65" s="384" t="s">
        <v>70</v>
      </c>
      <c r="B65" s="387" t="e" cm="1">
        <f t="array" ref="B65">SUM((RDP_Effectif[ETP moyen annuel])*(RDP_Effectif[Affectation]=$A$58)*($A65=_xlfn.XLOOKUP(RDP_Effectif[Carrière],Table4[Carrière],Table4[Equivalent carrière])))</f>
        <v>#N/A</v>
      </c>
      <c r="C65" s="387" t="e" cm="1">
        <f t="array" ref="C65">SUM((RDP_Effectif[Coût salaire annuel])*(RDP_Effectif[Affectation]=$A$58)*($A65=_xlfn.XLOOKUP(RDP_Effectif[Carrière],Table4[Carrière],Table4[Equivalent carrière])))</f>
        <v>#N/A</v>
      </c>
      <c r="D65" s="104" cm="1">
        <f t="array" ref="D65">IFERROR(SUM(
(RDP_Effectif[Ancienneté en nb d''années (au 31/12 ou date de sortie pour personnel sortant)])*
(RDP_Effectif[ETP moyen annuel])*
(RDP_Effectif[Affectation]=$A$58)*($A65=_xlfn.XLOOKUP(RDP_Effectif[Carrière],Table4[Carrière],Table4[Equivalent carrière])))/$B65,0)</f>
        <v>0</v>
      </c>
      <c r="G65" s="65"/>
      <c r="H65" s="65"/>
    </row>
    <row r="66" spans="1:8" x14ac:dyDescent="0.3">
      <c r="A66" s="384" t="s">
        <v>71</v>
      </c>
      <c r="B66" s="387" t="e" cm="1">
        <f t="array" ref="B66">SUM((RDP_Effectif[ETP moyen annuel])*(RDP_Effectif[Affectation]=$A$58)*($A66=_xlfn.XLOOKUP(RDP_Effectif[Carrière],Table4[Carrière],Table4[Equivalent carrière])))</f>
        <v>#N/A</v>
      </c>
      <c r="C66" s="387" t="e" cm="1">
        <f t="array" ref="C66">SUM((RDP_Effectif[Coût salaire annuel])*(RDP_Effectif[Affectation]=$A$58)*($A66=_xlfn.XLOOKUP(RDP_Effectif[Carrière],Table4[Carrière],Table4[Equivalent carrière])))</f>
        <v>#N/A</v>
      </c>
      <c r="D66" s="104" cm="1">
        <f t="array" ref="D66">IFERROR(SUM(
(RDP_Effectif[Ancienneté en nb d''années (au 31/12 ou date de sortie pour personnel sortant)])*
(RDP_Effectif[ETP moyen annuel])*
(RDP_Effectif[Affectation]=$A$58)*($A66=_xlfn.XLOOKUP(RDP_Effectif[Carrière],Table4[Carrière],Table4[Equivalent carrière])))/$B66,0)</f>
        <v>0</v>
      </c>
      <c r="E66" s="65"/>
      <c r="F66" s="65"/>
      <c r="G66" s="65"/>
      <c r="H66" s="65"/>
    </row>
    <row r="67" spans="1:8" x14ac:dyDescent="0.3">
      <c r="A67" s="384" t="s">
        <v>179</v>
      </c>
      <c r="B67" s="387" t="e" cm="1">
        <f t="array" ref="B67">SUM((RDP_Effectif[ETP moyen annuel])*(RDP_Effectif[Affectation]=$A$58)*($A67=_xlfn.XLOOKUP(RDP_Effectif[Carrière],Table4[Carrière],Table4[Equivalent carrière])))</f>
        <v>#N/A</v>
      </c>
      <c r="C67" s="387" t="e" cm="1">
        <f t="array" ref="C67">SUM((RDP_Effectif[Coût salaire annuel])*(RDP_Effectif[Affectation]=$A$58)*($A67=_xlfn.XLOOKUP(RDP_Effectif[Carrière],Table4[Carrière],Table4[Equivalent carrière])))</f>
        <v>#N/A</v>
      </c>
      <c r="D67" s="104" cm="1">
        <f t="array" ref="D67">IFERROR(SUM(
(RDP_Effectif[Ancienneté en nb d''années (au 31/12 ou date de sortie pour personnel sortant)])*
(RDP_Effectif[ETP moyen annuel])*
(RDP_Effectif[Affectation]=$A$58)*($A67=_xlfn.XLOOKUP(RDP_Effectif[Carrière],Table4[Carrière],Table4[Equivalent carrière])))/$B67,0)</f>
        <v>0</v>
      </c>
      <c r="E67" s="65"/>
      <c r="F67" s="65"/>
      <c r="G67" s="65"/>
      <c r="H67" s="65"/>
    </row>
    <row r="68" spans="1:8" x14ac:dyDescent="0.3">
      <c r="A68" s="384" t="s">
        <v>72</v>
      </c>
      <c r="B68" s="387" t="e" cm="1">
        <f t="array" ref="B68">SUM((RDP_Effectif[ETP moyen annuel])*(RDP_Effectif[Affectation]=$A$58)*($A68=_xlfn.XLOOKUP(RDP_Effectif[Carrière],Table4[Carrière],Table4[Equivalent carrière])))</f>
        <v>#N/A</v>
      </c>
      <c r="C68" s="387" t="e" cm="1">
        <f t="array" ref="C68">SUM((RDP_Effectif[Coût salaire annuel])*(RDP_Effectif[Affectation]=$A$58)*($A68=_xlfn.XLOOKUP(RDP_Effectif[Carrière],Table4[Carrière],Table4[Equivalent carrière])))</f>
        <v>#N/A</v>
      </c>
      <c r="D68" s="104" cm="1">
        <f t="array" ref="D68">IFERROR(SUM(
(RDP_Effectif[Ancienneté en nb d''années (au 31/12 ou date de sortie pour personnel sortant)])*
(RDP_Effectif[ETP moyen annuel])*
(RDP_Effectif[Affectation]=$A$58)*($A68=_xlfn.XLOOKUP(RDP_Effectif[Carrière],Table4[Carrière],Table4[Equivalent carrière])))/$B68,0)</f>
        <v>0</v>
      </c>
      <c r="E68" s="65"/>
      <c r="F68" s="65"/>
      <c r="G68" s="65"/>
      <c r="H68" s="65"/>
    </row>
    <row r="69" spans="1:8" x14ac:dyDescent="0.3">
      <c r="A69" s="384" t="s">
        <v>73</v>
      </c>
      <c r="B69" s="387" t="e" cm="1">
        <f t="array" ref="B69">SUM((RDP_Effectif[ETP moyen annuel])*(RDP_Effectif[Affectation]=$A$58)*($A69=_xlfn.XLOOKUP(RDP_Effectif[Carrière],Table4[Carrière],Table4[Equivalent carrière])))</f>
        <v>#N/A</v>
      </c>
      <c r="C69" s="387" t="e" cm="1">
        <f t="array" ref="C69">SUM((RDP_Effectif[Coût salaire annuel])*(RDP_Effectif[Affectation]=$A$58)*($A69=_xlfn.XLOOKUP(RDP_Effectif[Carrière],Table4[Carrière],Table4[Equivalent carrière])))</f>
        <v>#N/A</v>
      </c>
      <c r="D69" s="104" cm="1">
        <f t="array" ref="D69">IFERROR(SUM(
(RDP_Effectif[Ancienneté en nb d''années (au 31/12 ou date de sortie pour personnel sortant)])*
(RDP_Effectif[ETP moyen annuel])*
(RDP_Effectif[Affectation]=$A$58)*($A69=_xlfn.XLOOKUP(RDP_Effectif[Carrière],Table4[Carrière],Table4[Equivalent carrière])))/$B69,0)</f>
        <v>0</v>
      </c>
      <c r="E69" s="65"/>
      <c r="F69" s="104" t="s">
        <v>307</v>
      </c>
      <c r="G69" s="104" t="s">
        <v>305</v>
      </c>
      <c r="H69" s="65"/>
    </row>
    <row r="70" spans="1:8" x14ac:dyDescent="0.3">
      <c r="A70" s="110" t="s">
        <v>67</v>
      </c>
      <c r="B70" s="110" t="e">
        <f>SUM(B60:B69)</f>
        <v>#N/A</v>
      </c>
      <c r="C70" s="127" t="e">
        <f>SUM(C60:C69)</f>
        <v>#N/A</v>
      </c>
      <c r="D70" s="110" t="e">
        <f>IF(B70=0,"",(SUMPRODUCT(B60:B69,D60:D69))/B70)</f>
        <v>#N/A</v>
      </c>
      <c r="E70" s="65"/>
      <c r="F70" s="385" t="e">
        <f>C70/C26</f>
        <v>#N/A</v>
      </c>
      <c r="G70" s="104" t="e">
        <f>F70-FP70</f>
        <v>#N/A</v>
      </c>
      <c r="H70" s="65"/>
    </row>
    <row r="71" spans="1:8" x14ac:dyDescent="0.3">
      <c r="A71" s="130"/>
      <c r="B71" s="130"/>
      <c r="C71" s="130"/>
      <c r="D71" s="65"/>
      <c r="E71" s="65"/>
      <c r="F71" s="130"/>
      <c r="G71" s="65"/>
      <c r="H71" s="65"/>
    </row>
    <row r="72" spans="1:8" ht="15.6" x14ac:dyDescent="0.3">
      <c r="A72" s="137" t="s">
        <v>377</v>
      </c>
      <c r="B72" s="130"/>
      <c r="C72" s="130"/>
      <c r="D72" s="65"/>
      <c r="E72" s="65"/>
      <c r="F72" s="130"/>
      <c r="G72" s="65"/>
      <c r="H72" s="65"/>
    </row>
    <row r="73" spans="1:8" x14ac:dyDescent="0.3">
      <c r="A73" s="110" t="s">
        <v>282</v>
      </c>
      <c r="B73" s="110" t="s">
        <v>45</v>
      </c>
      <c r="C73" s="110" t="s">
        <v>281</v>
      </c>
      <c r="D73" s="110" t="s">
        <v>79</v>
      </c>
      <c r="E73" s="65"/>
      <c r="F73" s="65"/>
      <c r="G73" s="65"/>
      <c r="H73" s="65"/>
    </row>
    <row r="74" spans="1:8" x14ac:dyDescent="0.3">
      <c r="A74" s="384" t="s">
        <v>69</v>
      </c>
      <c r="B74" s="387" t="e" cm="1">
        <f t="array" ref="B74">SUM((RDP_Effectif[ETP moyen annuel])*(RDP_Effectif[Affectation]=$A$72)*($A74=_xlfn.XLOOKUP(RDP_Effectif[Carrière],Table4[Carrière],Table4[Equivalent carrière])))</f>
        <v>#N/A</v>
      </c>
      <c r="C74" s="387" t="e" cm="1">
        <f t="array" ref="C74">SUM((RDP_Effectif[Coût salaire annuel])*(RDP_Effectif[Affectation]=$A$72)*($A74=_xlfn.XLOOKUP(RDP_Effectif[Carrière],Table4[Carrière],Table4[Equivalent carrière])))</f>
        <v>#N/A</v>
      </c>
      <c r="D74" s="104" cm="1">
        <f t="array" ref="D74">IFERROR(SUM(
(RDP_Effectif[Ancienneté en nb d''années (au 31/12 ou date de sortie pour personnel sortant)])*
(RDP_Effectif[ETP moyen annuel])*
(RDP_Effectif[Affectation]=$A$72)*($A74=_xlfn.XLOOKUP(RDP_Effectif[Carrière],Table4[Carrière],Table4[Equivalent carrière])))/$B74,0)</f>
        <v>0</v>
      </c>
      <c r="E74" s="65"/>
      <c r="F74" s="65"/>
      <c r="G74" s="65"/>
      <c r="H74" s="65"/>
    </row>
    <row r="75" spans="1:8" x14ac:dyDescent="0.3">
      <c r="A75" s="384" t="s">
        <v>159</v>
      </c>
      <c r="B75" s="387" t="e" cm="1">
        <f t="array" ref="B75">SUM((RDP_Effectif[ETP moyen annuel])*(RDP_Effectif[Affectation]=$A$72)*($A75=_xlfn.XLOOKUP(RDP_Effectif[Carrière],Table4[Carrière],Table4[Equivalent carrière])))</f>
        <v>#N/A</v>
      </c>
      <c r="C75" s="387" t="e" cm="1">
        <f t="array" ref="C75">SUM((RDP_Effectif[Coût salaire annuel])*(RDP_Effectif[Affectation]=$A$72)*($A75=_xlfn.XLOOKUP(RDP_Effectif[Carrière],Table4[Carrière],Table4[Equivalent carrière])))</f>
        <v>#N/A</v>
      </c>
      <c r="D75" s="104" cm="1">
        <f t="array" ref="D75">IFERROR(SUM(
(RDP_Effectif[Ancienneté en nb d''années (au 31/12 ou date de sortie pour personnel sortant)])*
(RDP_Effectif[ETP moyen annuel])*
(RDP_Effectif[Affectation]=$A$72)*($A75=_xlfn.XLOOKUP(RDP_Effectif[Carrière],Table4[Carrière],Table4[Equivalent carrière])))/$B75,0)</f>
        <v>0</v>
      </c>
      <c r="E75" s="65"/>
      <c r="F75" s="65"/>
      <c r="G75" s="65"/>
      <c r="H75" s="65"/>
    </row>
    <row r="76" spans="1:8" x14ac:dyDescent="0.3">
      <c r="A76" s="384" t="s">
        <v>160</v>
      </c>
      <c r="B76" s="387" t="e" cm="1">
        <f t="array" ref="B76">SUM((RDP_Effectif[ETP moyen annuel])*(RDP_Effectif[Affectation]=$A$72)*($A76=_xlfn.XLOOKUP(RDP_Effectif[Carrière],Table4[Carrière],Table4[Equivalent carrière])))</f>
        <v>#N/A</v>
      </c>
      <c r="C76" s="387" t="e" cm="1">
        <f t="array" ref="C76">SUM((RDP_Effectif[Coût salaire annuel])*(RDP_Effectif[Affectation]=$A$72)*($A76=_xlfn.XLOOKUP(RDP_Effectif[Carrière],Table4[Carrière],Table4[Equivalent carrière])))</f>
        <v>#N/A</v>
      </c>
      <c r="D76" s="104" cm="1">
        <f t="array" ref="D76">IFERROR(SUM(
(RDP_Effectif[Ancienneté en nb d''années (au 31/12 ou date de sortie pour personnel sortant)])*
(RDP_Effectif[ETP moyen annuel])*
(RDP_Effectif[Affectation]=$A$72)*($A76=_xlfn.XLOOKUP(RDP_Effectif[Carrière],Table4[Carrière],Table4[Equivalent carrière])))/$B76,0)</f>
        <v>0</v>
      </c>
      <c r="E76" s="65"/>
      <c r="F76" s="65"/>
      <c r="G76" s="65"/>
      <c r="H76" s="65"/>
    </row>
    <row r="77" spans="1:8" x14ac:dyDescent="0.3">
      <c r="A77" s="384" t="s">
        <v>161</v>
      </c>
      <c r="B77" s="387" t="e" cm="1">
        <f t="array" ref="B77">SUM((RDP_Effectif[ETP moyen annuel])*(RDP_Effectif[Affectation]=$A$72)*($A77=_xlfn.XLOOKUP(RDP_Effectif[Carrière],Table4[Carrière],Table4[Equivalent carrière])))</f>
        <v>#N/A</v>
      </c>
      <c r="C77" s="387" t="e" cm="1">
        <f t="array" ref="C77">SUM((RDP_Effectif[Coût salaire annuel])*(RDP_Effectif[Affectation]=$A$72)*($A77=_xlfn.XLOOKUP(RDP_Effectif[Carrière],Table4[Carrière],Table4[Equivalent carrière])))</f>
        <v>#N/A</v>
      </c>
      <c r="D77" s="104" cm="1">
        <f t="array" ref="D77">IFERROR(SUM(
(RDP_Effectif[Ancienneté en nb d''années (au 31/12 ou date de sortie pour personnel sortant)])*
(RDP_Effectif[ETP moyen annuel])*
(RDP_Effectif[Affectation]=$A$72)*($A77=_xlfn.XLOOKUP(RDP_Effectif[Carrière],Table4[Carrière],Table4[Equivalent carrière])))/$B77,0)</f>
        <v>0</v>
      </c>
      <c r="E77" s="65"/>
      <c r="F77" s="65"/>
      <c r="G77" s="65"/>
      <c r="H77" s="65"/>
    </row>
    <row r="78" spans="1:8" x14ac:dyDescent="0.3">
      <c r="A78" s="384" t="s">
        <v>162</v>
      </c>
      <c r="B78" s="387" t="e" cm="1">
        <f t="array" ref="B78">SUM((RDP_Effectif[ETP moyen annuel])*(RDP_Effectif[Affectation]=$A$72)*($A78=_xlfn.XLOOKUP(RDP_Effectif[Carrière],Table4[Carrière],Table4[Equivalent carrière])))</f>
        <v>#N/A</v>
      </c>
      <c r="C78" s="387" t="e" cm="1">
        <f t="array" ref="C78">SUM((RDP_Effectif[Coût salaire annuel])*(RDP_Effectif[Affectation]=$A$72)*($A78=_xlfn.XLOOKUP(RDP_Effectif[Carrière],Table4[Carrière],Table4[Equivalent carrière])))</f>
        <v>#N/A</v>
      </c>
      <c r="D78" s="104" cm="1">
        <f t="array" ref="D78">IFERROR(SUM(
(RDP_Effectif[Ancienneté en nb d''années (au 31/12 ou date de sortie pour personnel sortant)])*
(RDP_Effectif[ETP moyen annuel])*
(RDP_Effectif[Affectation]=$A$72)*($A78=_xlfn.XLOOKUP(RDP_Effectif[Carrière],Table4[Carrière],Table4[Equivalent carrière])))/$B78,0)</f>
        <v>0</v>
      </c>
      <c r="E78" s="65"/>
      <c r="F78" s="65"/>
      <c r="G78" s="65"/>
      <c r="H78" s="65"/>
    </row>
    <row r="79" spans="1:8" x14ac:dyDescent="0.3">
      <c r="A79" s="384" t="s">
        <v>70</v>
      </c>
      <c r="B79" s="387" t="e" cm="1">
        <f t="array" ref="B79">SUM((RDP_Effectif[ETP moyen annuel])*(RDP_Effectif[Affectation]=$A$72)*($A79=_xlfn.XLOOKUP(RDP_Effectif[Carrière],Table4[Carrière],Table4[Equivalent carrière])))</f>
        <v>#N/A</v>
      </c>
      <c r="C79" s="387" t="e" cm="1">
        <f t="array" ref="C79">SUM((RDP_Effectif[Coût salaire annuel])*(RDP_Effectif[Affectation]=$A$72)*($A79=_xlfn.XLOOKUP(RDP_Effectif[Carrière],Table4[Carrière],Table4[Equivalent carrière])))</f>
        <v>#N/A</v>
      </c>
      <c r="D79" s="104" cm="1">
        <f t="array" ref="D79">IFERROR(SUM(
(RDP_Effectif[Ancienneté en nb d''années (au 31/12 ou date de sortie pour personnel sortant)])*
(RDP_Effectif[ETP moyen annuel])*
(RDP_Effectif[Affectation]=$A$72)*($A79=_xlfn.XLOOKUP(RDP_Effectif[Carrière],Table4[Carrière],Table4[Equivalent carrière])))/$B79,0)</f>
        <v>0</v>
      </c>
      <c r="E79" s="65"/>
      <c r="F79" s="65"/>
      <c r="G79" s="65"/>
      <c r="H79" s="65"/>
    </row>
    <row r="80" spans="1:8" x14ac:dyDescent="0.3">
      <c r="A80" s="384" t="s">
        <v>71</v>
      </c>
      <c r="B80" s="387" t="e" cm="1">
        <f t="array" ref="B80">SUM((RDP_Effectif[ETP moyen annuel])*(RDP_Effectif[Affectation]=$A$72)*($A80=_xlfn.XLOOKUP(RDP_Effectif[Carrière],Table4[Carrière],Table4[Equivalent carrière])))</f>
        <v>#N/A</v>
      </c>
      <c r="C80" s="387" t="e" cm="1">
        <f t="array" ref="C80">SUM((RDP_Effectif[Coût salaire annuel])*(RDP_Effectif[Affectation]=$A$72)*($A80=_xlfn.XLOOKUP(RDP_Effectif[Carrière],Table4[Carrière],Table4[Equivalent carrière])))</f>
        <v>#N/A</v>
      </c>
      <c r="D80" s="104" cm="1">
        <f t="array" ref="D80">IFERROR(SUM(
(RDP_Effectif[Ancienneté en nb d''années (au 31/12 ou date de sortie pour personnel sortant)])*
(RDP_Effectif[ETP moyen annuel])*
(RDP_Effectif[Affectation]=$A$72)*($A80=_xlfn.XLOOKUP(RDP_Effectif[Carrière],Table4[Carrière],Table4[Equivalent carrière])))/$B80,0)</f>
        <v>0</v>
      </c>
      <c r="E80" s="65"/>
      <c r="F80" s="65"/>
      <c r="G80" s="65"/>
      <c r="H80" s="65"/>
    </row>
    <row r="81" spans="1:9" x14ac:dyDescent="0.3">
      <c r="A81" s="384" t="s">
        <v>179</v>
      </c>
      <c r="B81" s="387" t="e" cm="1">
        <f t="array" ref="B81">SUM((RDP_Effectif[ETP moyen annuel])*(RDP_Effectif[Affectation]=$A$72)*($A81=_xlfn.XLOOKUP(RDP_Effectif[Carrière],Table4[Carrière],Table4[Equivalent carrière])))</f>
        <v>#N/A</v>
      </c>
      <c r="C81" s="387" t="e" cm="1">
        <f t="array" ref="C81">SUM((RDP_Effectif[Coût salaire annuel])*(RDP_Effectif[Affectation]=$A$72)*($A81=_xlfn.XLOOKUP(RDP_Effectif[Carrière],Table4[Carrière],Table4[Equivalent carrière])))</f>
        <v>#N/A</v>
      </c>
      <c r="D81" s="104" cm="1">
        <f t="array" ref="D81">IFERROR(SUM(
(RDP_Effectif[Ancienneté en nb d''années (au 31/12 ou date de sortie pour personnel sortant)])*
(RDP_Effectif[ETP moyen annuel])*
(RDP_Effectif[Affectation]=$A$72)*($A81=_xlfn.XLOOKUP(RDP_Effectif[Carrière],Table4[Carrière],Table4[Equivalent carrière])))/$B81,0)</f>
        <v>0</v>
      </c>
      <c r="E81" s="65"/>
      <c r="F81" s="65"/>
      <c r="G81" s="65"/>
      <c r="H81" s="65"/>
    </row>
    <row r="82" spans="1:9" x14ac:dyDescent="0.3">
      <c r="A82" s="384" t="s">
        <v>72</v>
      </c>
      <c r="B82" s="387" t="e" cm="1">
        <f t="array" ref="B82">SUM((RDP_Effectif[ETP moyen annuel])*(RDP_Effectif[Affectation]=$A$72)*($A82=_xlfn.XLOOKUP(RDP_Effectif[Carrière],Table4[Carrière],Table4[Equivalent carrière])))</f>
        <v>#N/A</v>
      </c>
      <c r="C82" s="387" t="e" cm="1">
        <f t="array" ref="C82">SUM((RDP_Effectif[Coût salaire annuel])*(RDP_Effectif[Affectation]=$A$72)*($A82=_xlfn.XLOOKUP(RDP_Effectif[Carrière],Table4[Carrière],Table4[Equivalent carrière])))</f>
        <v>#N/A</v>
      </c>
      <c r="D82" s="104" cm="1">
        <f t="array" ref="D82">IFERROR(SUM(
(RDP_Effectif[Ancienneté en nb d''années (au 31/12 ou date de sortie pour personnel sortant)])*
(RDP_Effectif[ETP moyen annuel])*
(RDP_Effectif[Affectation]=$A$72)*($A82=_xlfn.XLOOKUP(RDP_Effectif[Carrière],Table4[Carrière],Table4[Equivalent carrière])))/$B82,0)</f>
        <v>0</v>
      </c>
      <c r="E82" s="65"/>
      <c r="F82" s="65"/>
      <c r="G82" s="65"/>
      <c r="H82" s="65"/>
    </row>
    <row r="83" spans="1:9" x14ac:dyDescent="0.3">
      <c r="A83" s="384" t="s">
        <v>73</v>
      </c>
      <c r="B83" s="387" t="e" cm="1">
        <f t="array" ref="B83">SUM((RDP_Effectif[ETP moyen annuel])*(RDP_Effectif[Affectation]=$A$72)*($A83=_xlfn.XLOOKUP(RDP_Effectif[Carrière],Table4[Carrière],Table4[Equivalent carrière])))</f>
        <v>#N/A</v>
      </c>
      <c r="C83" s="387" t="e" cm="1">
        <f t="array" ref="C83">SUM((RDP_Effectif[Coût salaire annuel])*(RDP_Effectif[Affectation]=$A$72)*($A83=_xlfn.XLOOKUP(RDP_Effectif[Carrière],Table4[Carrière],Table4[Equivalent carrière])))</f>
        <v>#N/A</v>
      </c>
      <c r="D83" s="104" cm="1">
        <f t="array" ref="D83">IFERROR(SUM(
(RDP_Effectif[Ancienneté en nb d''années (au 31/12 ou date de sortie pour personnel sortant)])*
(RDP_Effectif[ETP moyen annuel])*
(RDP_Effectif[Affectation]=$A$72)*($A83=_xlfn.XLOOKUP(RDP_Effectif[Carrière],Table4[Carrière],Table4[Equivalent carrière])))/$B83,0)</f>
        <v>0</v>
      </c>
      <c r="E83" s="65"/>
      <c r="F83" s="104" t="s">
        <v>307</v>
      </c>
      <c r="G83" s="104" t="s">
        <v>305</v>
      </c>
      <c r="H83" s="65"/>
    </row>
    <row r="84" spans="1:9" x14ac:dyDescent="0.3">
      <c r="A84" s="110" t="s">
        <v>67</v>
      </c>
      <c r="B84" s="110" t="e">
        <f>SUM(B74:B83)</f>
        <v>#N/A</v>
      </c>
      <c r="C84" s="127" t="e">
        <f>SUM(C74:C83)</f>
        <v>#N/A</v>
      </c>
      <c r="D84" s="110" t="e">
        <f>IF(B84=0,"",(SUMPRODUCT(B74:B83,D74:D83))/B84)</f>
        <v>#N/A</v>
      </c>
      <c r="E84" s="65"/>
      <c r="F84" s="385" t="e">
        <f>C84/C26</f>
        <v>#N/A</v>
      </c>
      <c r="G84" s="104" t="e">
        <f>F84-FP84</f>
        <v>#N/A</v>
      </c>
      <c r="H84" s="65"/>
    </row>
    <row r="85" spans="1:9" x14ac:dyDescent="0.3">
      <c r="A85" s="65"/>
      <c r="B85" s="65"/>
      <c r="C85" s="65"/>
      <c r="D85" s="65"/>
      <c r="E85" s="65"/>
      <c r="F85" s="104" t="s">
        <v>307</v>
      </c>
      <c r="G85" s="104" t="s">
        <v>305</v>
      </c>
      <c r="H85" s="65"/>
    </row>
    <row r="86" spans="1:9" ht="15.6" x14ac:dyDescent="0.3">
      <c r="A86" s="137" t="s">
        <v>351</v>
      </c>
      <c r="B86" s="104" t="s">
        <v>308</v>
      </c>
      <c r="C86" s="127" cm="1">
        <f t="array" ref="C86">SUM((RDP_Spécifique[Coût salaire annuel])*(RDP_Spécifique[Type de personnel]=$A$86))</f>
        <v>0</v>
      </c>
      <c r="D86" s="65"/>
      <c r="E86" s="65"/>
      <c r="F86" s="112" t="e">
        <f>C86/C26</f>
        <v>#DIV/0!</v>
      </c>
      <c r="G86" s="104" t="e">
        <f t="shared" ref="G86:G89" si="2">F86-FP86</f>
        <v>#DIV/0!</v>
      </c>
      <c r="H86" s="65"/>
    </row>
    <row r="87" spans="1:9" ht="15.6" x14ac:dyDescent="0.3">
      <c r="A87" s="137" t="s">
        <v>352</v>
      </c>
      <c r="B87" s="104" t="s">
        <v>308</v>
      </c>
      <c r="C87" s="127" cm="1">
        <f t="array" ref="C87">SUM((RDP_Spécifique[Coût salaire annuel])*(RDP_Spécifique[Type de personnel]=$A$87))</f>
        <v>0</v>
      </c>
      <c r="D87" s="65"/>
      <c r="E87" s="65"/>
      <c r="F87" s="112" t="e">
        <f>C87/C26</f>
        <v>#DIV/0!</v>
      </c>
      <c r="G87" s="104" t="e">
        <f t="shared" si="2"/>
        <v>#DIV/0!</v>
      </c>
      <c r="H87" s="65"/>
    </row>
    <row r="88" spans="1:9" ht="15.6" x14ac:dyDescent="0.3">
      <c r="A88" s="137" t="s">
        <v>423</v>
      </c>
      <c r="B88" s="104" t="s">
        <v>308</v>
      </c>
      <c r="C88" s="127" cm="1">
        <f t="array" ref="C88">SUM((RDP_Spécifique[Coût salaire annuel])*(RDP_Spécifique[Type de personnel]=$A$88))</f>
        <v>0</v>
      </c>
      <c r="D88" s="65"/>
      <c r="E88" s="65"/>
      <c r="F88" s="112" t="e">
        <f>C88/C26</f>
        <v>#DIV/0!</v>
      </c>
      <c r="G88" s="104" t="e">
        <f t="shared" si="2"/>
        <v>#DIV/0!</v>
      </c>
      <c r="H88" s="65"/>
    </row>
    <row r="89" spans="1:9" ht="15.6" x14ac:dyDescent="0.3">
      <c r="A89" s="137" t="s">
        <v>353</v>
      </c>
      <c r="B89" s="104" t="s">
        <v>308</v>
      </c>
      <c r="C89" s="127" cm="1">
        <f t="array" ref="C89">SUM((RDP_Spécifique[Coût salaire annuel])*(RDP_Spécifique[Type de personnel]=$A$89))</f>
        <v>0</v>
      </c>
      <c r="D89" s="65"/>
      <c r="E89" s="65"/>
      <c r="F89" s="112" t="e">
        <f>C89/C26</f>
        <v>#DIV/0!</v>
      </c>
      <c r="G89" s="104" t="e">
        <f t="shared" si="2"/>
        <v>#DIV/0!</v>
      </c>
      <c r="H89" s="65"/>
    </row>
    <row r="90" spans="1:9" x14ac:dyDescent="0.3">
      <c r="A90" s="65"/>
      <c r="B90" s="65"/>
      <c r="C90" s="65"/>
      <c r="D90" s="65"/>
      <c r="E90" s="65"/>
      <c r="H90" s="65"/>
    </row>
    <row r="91" spans="1:9" x14ac:dyDescent="0.3">
      <c r="A91" s="65"/>
      <c r="B91" s="65"/>
      <c r="C91" s="65"/>
      <c r="D91" s="65"/>
      <c r="E91" s="65"/>
      <c r="F91" s="130"/>
      <c r="G91" s="65"/>
      <c r="H91" s="65"/>
    </row>
    <row r="92" spans="1:9" x14ac:dyDescent="0.3">
      <c r="A92" s="65"/>
      <c r="B92" s="65"/>
      <c r="C92" s="65"/>
      <c r="D92" s="65"/>
      <c r="E92" s="65"/>
      <c r="F92" s="104" t="s">
        <v>307</v>
      </c>
      <c r="G92" s="104" t="s">
        <v>305</v>
      </c>
      <c r="H92" s="65"/>
    </row>
    <row r="93" spans="1:9" x14ac:dyDescent="0.3">
      <c r="A93" s="65"/>
      <c r="B93" s="366" t="s">
        <v>306</v>
      </c>
      <c r="C93" s="127" t="e">
        <f>C86+C87+C84+C70+C56+C42+C88+C89</f>
        <v>#N/A</v>
      </c>
      <c r="D93" s="65" t="e">
        <f>C93-#REF!</f>
        <v>#N/A</v>
      </c>
      <c r="E93" s="65"/>
      <c r="F93" s="385" t="e">
        <f>C93/C26</f>
        <v>#N/A</v>
      </c>
      <c r="G93" s="104" t="e">
        <f>F93-FP93</f>
        <v>#N/A</v>
      </c>
      <c r="H93" s="65"/>
    </row>
    <row r="94" spans="1:9" x14ac:dyDescent="0.3">
      <c r="A94" s="65"/>
      <c r="B94" s="130"/>
      <c r="C94" s="130"/>
      <c r="D94" s="65"/>
      <c r="E94" s="65"/>
      <c r="F94" s="130"/>
      <c r="G94" s="65"/>
      <c r="H94" s="65"/>
    </row>
    <row r="95" spans="1:9" ht="15.6" x14ac:dyDescent="0.3">
      <c r="A95" s="137"/>
      <c r="B95" s="137"/>
      <c r="C95" s="137"/>
      <c r="D95" s="137"/>
      <c r="E95" s="137"/>
      <c r="F95" s="137"/>
      <c r="G95" s="65"/>
      <c r="H95" s="65"/>
    </row>
    <row r="96" spans="1:9" x14ac:dyDescent="0.3">
      <c r="A96" s="65"/>
      <c r="B96" s="135" t="s">
        <v>304</v>
      </c>
      <c r="C96" s="134" t="e">
        <f>C93+#REF!</f>
        <v>#N/A</v>
      </c>
      <c r="D96" s="133"/>
      <c r="E96" s="65"/>
      <c r="F96" s="130"/>
      <c r="G96" s="132"/>
      <c r="H96" s="132"/>
      <c r="I96" s="132"/>
    </row>
    <row r="97" spans="1:8" x14ac:dyDescent="0.3">
      <c r="A97" s="65"/>
      <c r="B97" s="104" t="s">
        <v>303</v>
      </c>
      <c r="C97" s="131" t="e">
        <f>C96/C26</f>
        <v>#N/A</v>
      </c>
      <c r="D97" s="104" t="e">
        <f>C97-FM97</f>
        <v>#N/A</v>
      </c>
      <c r="E97" s="65"/>
      <c r="F97" s="130"/>
      <c r="G97" s="65"/>
      <c r="H97" s="65"/>
    </row>
    <row r="98" spans="1:8" ht="28.8" x14ac:dyDescent="0.3">
      <c r="A98" s="65"/>
      <c r="B98" s="129" t="s">
        <v>302</v>
      </c>
      <c r="C98" s="104" t="e">
        <f>C26/B42</f>
        <v>#N/A</v>
      </c>
      <c r="D98" s="104" t="e">
        <f>C98-FM98</f>
        <v>#N/A</v>
      </c>
      <c r="E98" s="65"/>
      <c r="F98" s="65"/>
      <c r="G98" s="65"/>
      <c r="H98" s="65"/>
    </row>
    <row r="99" spans="1:8" x14ac:dyDescent="0.3">
      <c r="A99" s="65"/>
      <c r="B99" s="104" t="s">
        <v>301</v>
      </c>
      <c r="C99" s="26" t="e">
        <f>C98/#REF!</f>
        <v>#N/A</v>
      </c>
      <c r="D99" s="104" t="e">
        <f>C99-FM99</f>
        <v>#N/A</v>
      </c>
      <c r="E99" s="65"/>
      <c r="F99" s="65"/>
      <c r="G99" s="65"/>
      <c r="H99" s="65"/>
    </row>
    <row r="100" spans="1:8" ht="28.8" x14ac:dyDescent="0.3">
      <c r="A100" s="65"/>
      <c r="B100" s="129" t="s">
        <v>300</v>
      </c>
      <c r="C100" s="26" t="e">
        <f>C98/#REF!</f>
        <v>#N/A</v>
      </c>
      <c r="D100" s="104" t="e">
        <f>C100-FM100</f>
        <v>#N/A</v>
      </c>
      <c r="E100" s="65"/>
      <c r="F100" s="65"/>
      <c r="G100" s="65"/>
      <c r="H100" s="65"/>
    </row>
    <row r="101" spans="1:8" ht="28.8" x14ac:dyDescent="0.3">
      <c r="A101" s="65"/>
      <c r="B101" s="128" t="s">
        <v>299</v>
      </c>
      <c r="C101" s="127">
        <f>SUM('F2 - Facturation H'!$L:$L)+SUM('F2 - Facturation J'!$J$13)</f>
        <v>0</v>
      </c>
      <c r="D101" s="65"/>
      <c r="E101" s="65"/>
      <c r="F101" s="65"/>
      <c r="G101" s="65"/>
      <c r="H101" s="65"/>
    </row>
    <row r="102" spans="1:8" ht="15.6" x14ac:dyDescent="0.3">
      <c r="A102" s="391"/>
      <c r="B102" s="126" t="s">
        <v>298</v>
      </c>
      <c r="C102" s="125" t="e">
        <f>C101-C96</f>
        <v>#N/A</v>
      </c>
      <c r="D102" s="65" t="e">
        <f>IF(C102&lt;0,"Perte","Bénéfice")</f>
        <v>#N/A</v>
      </c>
      <c r="E102" s="65"/>
      <c r="F102" s="65"/>
      <c r="G102" s="65"/>
      <c r="H102" s="65"/>
    </row>
    <row r="103" spans="1:8" x14ac:dyDescent="0.3">
      <c r="A103" s="392"/>
      <c r="C103" s="393" t="e">
        <f>C102-#REF!+#REF!+#REF!</f>
        <v>#N/A</v>
      </c>
    </row>
    <row r="104" spans="1:8" x14ac:dyDescent="0.3">
      <c r="A104" s="392"/>
      <c r="C104" s="394"/>
    </row>
    <row r="105" spans="1:8" x14ac:dyDescent="0.3">
      <c r="D105" s="132"/>
    </row>
    <row r="108" spans="1:8" ht="18" x14ac:dyDescent="0.35">
      <c r="A108" s="395">
        <f>'F0 - Générales'!B4</f>
        <v>0</v>
      </c>
    </row>
    <row r="110" spans="1:8" x14ac:dyDescent="0.3">
      <c r="A110" s="124" t="str">
        <f>'F0 - Générales'!B6&amp;" "&amp;'F0 - Générales'!B7</f>
        <v xml:space="preserve"> </v>
      </c>
    </row>
    <row r="111" spans="1:8" x14ac:dyDescent="0.3">
      <c r="A111" s="2" t="str">
        <f>"RTT "&amp;Data!$B$4</f>
        <v>RTT 2025</v>
      </c>
      <c r="B111" s="7" t="e">
        <f>#REF!</f>
        <v>#REF!</v>
      </c>
      <c r="C111" t="s">
        <v>297</v>
      </c>
      <c r="G111" s="112" t="s">
        <v>296</v>
      </c>
      <c r="H111" s="123" t="s">
        <v>295</v>
      </c>
    </row>
    <row r="112" spans="1:8" x14ac:dyDescent="0.3">
      <c r="A112" s="2" t="s">
        <v>294</v>
      </c>
      <c r="B112" s="104" t="e">
        <f>B42</f>
        <v>#N/A</v>
      </c>
      <c r="G112" s="2" t="s">
        <v>273</v>
      </c>
      <c r="H112" s="2"/>
    </row>
    <row r="113" spans="1:8" x14ac:dyDescent="0.3">
      <c r="B113" s="65"/>
      <c r="G113" s="2" t="s">
        <v>259</v>
      </c>
      <c r="H113" s="2"/>
    </row>
    <row r="114" spans="1:8" x14ac:dyDescent="0.3">
      <c r="A114" s="105" t="s">
        <v>293</v>
      </c>
      <c r="B114" s="366" t="e">
        <f>B111*B112*0.75</f>
        <v>#REF!</v>
      </c>
      <c r="C114" s="34" t="s">
        <v>292</v>
      </c>
      <c r="G114" s="2" t="s">
        <v>272</v>
      </c>
      <c r="H114" s="2"/>
    </row>
    <row r="115" spans="1:8" x14ac:dyDescent="0.3">
      <c r="G115" s="2" t="s">
        <v>271</v>
      </c>
      <c r="H115" s="2"/>
    </row>
    <row r="116" spans="1:8" ht="14.4" customHeight="1" x14ac:dyDescent="0.3">
      <c r="A116" s="117" t="s">
        <v>291</v>
      </c>
      <c r="B116" s="116"/>
      <c r="C116" s="116"/>
      <c r="D116" s="116"/>
      <c r="E116" s="115"/>
      <c r="G116" s="2" t="s">
        <v>270</v>
      </c>
      <c r="H116" s="2"/>
    </row>
    <row r="117" spans="1:8" ht="43.8" x14ac:dyDescent="0.35">
      <c r="A117" s="122"/>
      <c r="B117" s="121"/>
      <c r="C117" s="120"/>
      <c r="D117" s="105" t="s">
        <v>268</v>
      </c>
      <c r="E117" s="119" t="s">
        <v>290</v>
      </c>
      <c r="G117" s="17"/>
    </row>
    <row r="118" spans="1:8" x14ac:dyDescent="0.3">
      <c r="A118" s="85" t="s">
        <v>289</v>
      </c>
      <c r="B118" s="85"/>
      <c r="C118" s="85"/>
      <c r="D118" s="106" t="e">
        <f>C56</f>
        <v>#N/A</v>
      </c>
      <c r="E118" s="106" t="e">
        <f t="shared" ref="E118:E123" si="3">D118/$B$112</f>
        <v>#N/A</v>
      </c>
    </row>
    <row r="119" spans="1:8" x14ac:dyDescent="0.3">
      <c r="A119" s="85" t="s">
        <v>288</v>
      </c>
      <c r="B119" s="85"/>
      <c r="C119" s="85"/>
      <c r="D119" s="106" t="e">
        <f>C70</f>
        <v>#N/A</v>
      </c>
      <c r="E119" s="106" t="e">
        <f t="shared" si="3"/>
        <v>#N/A</v>
      </c>
    </row>
    <row r="120" spans="1:8" x14ac:dyDescent="0.3">
      <c r="A120" s="85" t="s">
        <v>287</v>
      </c>
      <c r="B120" s="85"/>
      <c r="C120" s="85"/>
      <c r="D120" s="106" t="e">
        <f>C84</f>
        <v>#N/A</v>
      </c>
      <c r="E120" s="106" t="e">
        <f t="shared" si="3"/>
        <v>#N/A</v>
      </c>
    </row>
    <row r="121" spans="1:8" x14ac:dyDescent="0.3">
      <c r="A121" s="85" t="s">
        <v>286</v>
      </c>
      <c r="B121" s="85"/>
      <c r="C121" s="85"/>
      <c r="D121" s="106">
        <f>C87</f>
        <v>0</v>
      </c>
      <c r="E121" s="106" t="e">
        <f t="shared" si="3"/>
        <v>#N/A</v>
      </c>
    </row>
    <row r="122" spans="1:8" x14ac:dyDescent="0.3">
      <c r="A122" s="85" t="s">
        <v>180</v>
      </c>
      <c r="B122" s="85"/>
      <c r="C122" s="85"/>
      <c r="D122" s="106">
        <f>C90</f>
        <v>0</v>
      </c>
      <c r="E122" s="106" t="e">
        <f t="shared" si="3"/>
        <v>#N/A</v>
      </c>
    </row>
    <row r="123" spans="1:8" x14ac:dyDescent="0.3">
      <c r="A123" s="85" t="s">
        <v>285</v>
      </c>
      <c r="B123" s="85"/>
      <c r="C123" s="85"/>
      <c r="D123" s="369" t="e">
        <f>#REF!+#REF!+#REF!-F123</f>
        <v>#REF!</v>
      </c>
      <c r="E123" s="369" t="e">
        <f t="shared" si="3"/>
        <v>#REF!</v>
      </c>
      <c r="F123">
        <f>0.991599*839.975/855.62*E145</f>
        <v>0</v>
      </c>
      <c r="G123" t="s">
        <v>284</v>
      </c>
    </row>
    <row r="124" spans="1:8" x14ac:dyDescent="0.3">
      <c r="A124" s="118" t="s">
        <v>67</v>
      </c>
      <c r="B124" s="118"/>
      <c r="C124" s="118"/>
      <c r="D124" s="109" t="e">
        <f>SUM(D118:D123)</f>
        <v>#N/A</v>
      </c>
      <c r="E124" s="109" t="e">
        <f>SUM(E118:E123)</f>
        <v>#N/A</v>
      </c>
    </row>
    <row r="125" spans="1:8" x14ac:dyDescent="0.3">
      <c r="D125" s="103"/>
      <c r="E125" s="103"/>
    </row>
    <row r="126" spans="1:8" x14ac:dyDescent="0.3">
      <c r="A126" s="117" t="s">
        <v>283</v>
      </c>
      <c r="B126" s="116"/>
      <c r="C126" s="115"/>
      <c r="D126" s="114"/>
      <c r="E126" s="114"/>
    </row>
    <row r="127" spans="1:8" x14ac:dyDescent="0.3">
      <c r="A127" s="105" t="s">
        <v>282</v>
      </c>
      <c r="B127" s="105" t="s">
        <v>45</v>
      </c>
      <c r="C127" s="105" t="s">
        <v>281</v>
      </c>
    </row>
    <row r="128" spans="1:8" ht="28.8" x14ac:dyDescent="0.3">
      <c r="A128" s="2" t="s">
        <v>69</v>
      </c>
      <c r="B128" s="104" t="e">
        <f t="shared" ref="B128:C137" si="4">B32</f>
        <v>#N/A</v>
      </c>
      <c r="C128" s="104" t="e">
        <f t="shared" si="4"/>
        <v>#N/A</v>
      </c>
      <c r="E128" s="113" t="s">
        <v>280</v>
      </c>
    </row>
    <row r="129" spans="1:7" x14ac:dyDescent="0.3">
      <c r="A129" s="2" t="s">
        <v>159</v>
      </c>
      <c r="B129" s="104" t="e">
        <f t="shared" si="4"/>
        <v>#N/A</v>
      </c>
      <c r="C129" s="104" t="e">
        <f t="shared" si="4"/>
        <v>#N/A</v>
      </c>
      <c r="E129" s="113"/>
      <c r="F129" s="112" t="e">
        <f>B138*B111*0.675</f>
        <v>#N/A</v>
      </c>
      <c r="G129" s="2" t="s">
        <v>279</v>
      </c>
    </row>
    <row r="130" spans="1:7" ht="28.8" x14ac:dyDescent="0.3">
      <c r="A130" s="2" t="s">
        <v>160</v>
      </c>
      <c r="B130" s="104" t="e">
        <f t="shared" si="4"/>
        <v>#N/A</v>
      </c>
      <c r="C130" s="104" t="e">
        <f t="shared" si="4"/>
        <v>#N/A</v>
      </c>
      <c r="E130" s="113" t="s">
        <v>278</v>
      </c>
    </row>
    <row r="131" spans="1:7" x14ac:dyDescent="0.3">
      <c r="A131" s="2" t="s">
        <v>161</v>
      </c>
      <c r="B131" s="104" t="e">
        <f t="shared" si="4"/>
        <v>#N/A</v>
      </c>
      <c r="C131" s="104" t="e">
        <f t="shared" si="4"/>
        <v>#N/A</v>
      </c>
      <c r="E131" s="113"/>
      <c r="F131" s="112" t="e">
        <f>B138*B111*0.825</f>
        <v>#N/A</v>
      </c>
      <c r="G131" s="2" t="s">
        <v>277</v>
      </c>
    </row>
    <row r="132" spans="1:7" x14ac:dyDescent="0.3">
      <c r="A132" s="2" t="s">
        <v>162</v>
      </c>
      <c r="B132" s="104" t="e">
        <f t="shared" si="4"/>
        <v>#N/A</v>
      </c>
      <c r="C132" s="104" t="e">
        <f t="shared" si="4"/>
        <v>#N/A</v>
      </c>
    </row>
    <row r="133" spans="1:7" x14ac:dyDescent="0.3">
      <c r="A133" s="2" t="s">
        <v>70</v>
      </c>
      <c r="B133" s="104" t="e">
        <f t="shared" si="4"/>
        <v>#N/A</v>
      </c>
      <c r="C133" s="104" t="e">
        <f t="shared" si="4"/>
        <v>#N/A</v>
      </c>
      <c r="E133" s="105" t="s">
        <v>276</v>
      </c>
      <c r="F133" s="111" t="s">
        <v>275</v>
      </c>
      <c r="G133" t="s">
        <v>274</v>
      </c>
    </row>
    <row r="134" spans="1:7" x14ac:dyDescent="0.3">
      <c r="A134" s="2" t="s">
        <v>71</v>
      </c>
      <c r="B134" s="104" t="e">
        <f t="shared" si="4"/>
        <v>#N/A</v>
      </c>
      <c r="C134" s="104" t="e">
        <f t="shared" si="4"/>
        <v>#N/A</v>
      </c>
      <c r="E134" s="2" t="s">
        <v>273</v>
      </c>
      <c r="F134" s="26" t="e">
        <f>(B135+B136)/B138</f>
        <v>#N/A</v>
      </c>
    </row>
    <row r="135" spans="1:7" x14ac:dyDescent="0.3">
      <c r="A135" s="2" t="s">
        <v>179</v>
      </c>
      <c r="B135" s="104" t="e">
        <f t="shared" si="4"/>
        <v>#N/A</v>
      </c>
      <c r="C135" s="104" t="e">
        <f t="shared" si="4"/>
        <v>#N/A</v>
      </c>
      <c r="E135" s="2" t="s">
        <v>259</v>
      </c>
      <c r="F135" s="26" t="e">
        <f>(B134+B133)/B138</f>
        <v>#N/A</v>
      </c>
    </row>
    <row r="136" spans="1:7" x14ac:dyDescent="0.3">
      <c r="A136" s="2" t="s">
        <v>72</v>
      </c>
      <c r="B136" s="104" t="e">
        <f t="shared" si="4"/>
        <v>#N/A</v>
      </c>
      <c r="C136" s="104" t="e">
        <f t="shared" si="4"/>
        <v>#N/A</v>
      </c>
      <c r="E136" s="2" t="s">
        <v>272</v>
      </c>
      <c r="F136" s="26" t="e">
        <f>(B132+B130)/B138</f>
        <v>#N/A</v>
      </c>
    </row>
    <row r="137" spans="1:7" x14ac:dyDescent="0.3">
      <c r="A137" s="2" t="s">
        <v>73</v>
      </c>
      <c r="B137" s="104" t="e">
        <f t="shared" si="4"/>
        <v>#N/A</v>
      </c>
      <c r="C137" s="104" t="e">
        <f t="shared" si="4"/>
        <v>#N/A</v>
      </c>
      <c r="E137" s="2" t="s">
        <v>271</v>
      </c>
      <c r="F137" s="26" t="e">
        <f>B137/B138</f>
        <v>#N/A</v>
      </c>
    </row>
    <row r="138" spans="1:7" x14ac:dyDescent="0.3">
      <c r="A138" s="105" t="s">
        <v>67</v>
      </c>
      <c r="B138" s="110" t="e">
        <f>SUM(B128:B137)</f>
        <v>#N/A</v>
      </c>
      <c r="C138" s="109" t="e">
        <f>SUM(C128:C137)</f>
        <v>#N/A</v>
      </c>
      <c r="E138" s="2" t="s">
        <v>270</v>
      </c>
      <c r="F138" s="26" t="e">
        <f>(B128+B129+B131)/B138</f>
        <v>#N/A</v>
      </c>
    </row>
    <row r="139" spans="1:7" x14ac:dyDescent="0.3">
      <c r="B139" s="65"/>
      <c r="C139" s="65"/>
    </row>
    <row r="143" spans="1:7" x14ac:dyDescent="0.3">
      <c r="A143" s="108" t="s">
        <v>269</v>
      </c>
      <c r="B143" s="108"/>
      <c r="C143" s="107"/>
      <c r="D143" s="107"/>
    </row>
    <row r="144" spans="1:7" x14ac:dyDescent="0.3">
      <c r="A144" s="105" t="s">
        <v>268</v>
      </c>
      <c r="B144" s="105" t="s">
        <v>267</v>
      </c>
    </row>
    <row r="145" spans="1:5" x14ac:dyDescent="0.3">
      <c r="A145" s="106">
        <v>18275.189999999999</v>
      </c>
      <c r="B145" s="106" t="e">
        <f>A145/E145</f>
        <v>#DIV/0!</v>
      </c>
      <c r="D145" s="105" t="s">
        <v>266</v>
      </c>
      <c r="E145" s="104">
        <f>C26</f>
        <v>0</v>
      </c>
    </row>
    <row r="146" spans="1:5" x14ac:dyDescent="0.3">
      <c r="E146" s="65"/>
    </row>
    <row r="147" spans="1:5" x14ac:dyDescent="0.3">
      <c r="A147" s="103" t="e">
        <f>A145+D123</f>
        <v>#REF!</v>
      </c>
    </row>
    <row r="148" spans="1:5" x14ac:dyDescent="0.3">
      <c r="A148" s="103" t="e">
        <f>A147+F123</f>
        <v>#REF!</v>
      </c>
    </row>
    <row r="149" spans="1:5" x14ac:dyDescent="0.3">
      <c r="A149" s="103"/>
    </row>
    <row r="158" spans="1:5" x14ac:dyDescent="0.3">
      <c r="A158" s="102" t="s">
        <v>265</v>
      </c>
    </row>
    <row r="159" spans="1:5" x14ac:dyDescent="0.3">
      <c r="A159" s="101" t="s">
        <v>264</v>
      </c>
    </row>
    <row r="160" spans="1:5" x14ac:dyDescent="0.3">
      <c r="A160" s="100" t="s">
        <v>263</v>
      </c>
    </row>
    <row r="161" spans="1:1" x14ac:dyDescent="0.3">
      <c r="A161" s="99" t="s">
        <v>262</v>
      </c>
    </row>
    <row r="162" spans="1:1" x14ac:dyDescent="0.3">
      <c r="A162" s="98" t="s">
        <v>261</v>
      </c>
    </row>
    <row r="163" spans="1:1" x14ac:dyDescent="0.3">
      <c r="A163" s="97" t="s">
        <v>260</v>
      </c>
    </row>
    <row r="164" spans="1:1" x14ac:dyDescent="0.3">
      <c r="A164" t="s">
        <v>260</v>
      </c>
    </row>
  </sheetData>
  <conditionalFormatting sqref="E145">
    <cfRule type="expression" dxfId="5" priority="4">
      <formula>$E$59&gt;$F$45</formula>
    </cfRule>
    <cfRule type="expression" dxfId="4" priority="5">
      <formula>"$B$35&lt;$F$21"</formula>
    </cfRule>
    <cfRule type="expression" dxfId="3" priority="6">
      <formula>"$F$21=&lt;$B$35=&lt;$F$23"</formula>
    </cfRule>
  </conditionalFormatting>
  <conditionalFormatting sqref="F136">
    <cfRule type="expression" dxfId="2" priority="1">
      <formula>$F$50&gt;1.1*$H$28</formula>
    </cfRule>
  </conditionalFormatting>
  <conditionalFormatting sqref="F137">
    <cfRule type="expression" dxfId="1" priority="2">
      <formula>$F$51&gt;1.1*$H$29</formula>
    </cfRule>
  </conditionalFormatting>
  <conditionalFormatting sqref="F138">
    <cfRule type="expression" dxfId="0" priority="3">
      <formula>$F$52&gt;1.1*$H$30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12BE7-7E96-4850-8EB0-9514D12D73A2}">
  <sheetPr>
    <tabColor theme="1" tint="0.499984740745262"/>
  </sheetPr>
  <dimension ref="A1:CB104"/>
  <sheetViews>
    <sheetView workbookViewId="0">
      <selection activeCell="AN4" sqref="AN4:AN10"/>
    </sheetView>
  </sheetViews>
  <sheetFormatPr defaultColWidth="8.88671875" defaultRowHeight="14.4" x14ac:dyDescent="0.3"/>
  <cols>
    <col min="1" max="1" width="26.33203125" style="143" customWidth="1"/>
    <col min="2" max="2" width="8.88671875" style="143"/>
    <col min="3" max="3" width="4.5546875" style="143" customWidth="1"/>
    <col min="4" max="4" width="34.109375" style="143" bestFit="1" customWidth="1"/>
    <col min="5" max="5" width="8.88671875" style="143"/>
    <col min="6" max="6" width="4.5546875" style="143" customWidth="1"/>
    <col min="7" max="7" width="17.33203125" style="143" bestFit="1" customWidth="1"/>
    <col min="8" max="8" width="9.33203125" style="143" customWidth="1"/>
    <col min="9" max="9" width="4.5546875" style="143" customWidth="1"/>
    <col min="10" max="11" width="8.88671875" style="143"/>
    <col min="12" max="12" width="18.6640625" style="143" customWidth="1"/>
    <col min="13" max="13" width="11.44140625" style="143" customWidth="1"/>
    <col min="14" max="14" width="4.5546875" style="143" customWidth="1"/>
    <col min="15" max="15" width="15" style="143" bestFit="1" customWidth="1"/>
    <col min="16" max="16" width="15" style="143" customWidth="1"/>
    <col min="17" max="17" width="4.5546875" style="143" customWidth="1"/>
    <col min="18" max="18" width="21.6640625" style="143" bestFit="1" customWidth="1"/>
    <col min="19" max="19" width="4.5546875" style="143" customWidth="1"/>
    <col min="20" max="20" width="21.6640625" style="143" customWidth="1"/>
    <col min="21" max="21" width="4.5546875" style="143" customWidth="1"/>
    <col min="22" max="22" width="50.44140625" style="143" bestFit="1" customWidth="1"/>
    <col min="23" max="23" width="4.5546875" style="143" customWidth="1"/>
    <col min="24" max="24" width="12.33203125" style="143" customWidth="1"/>
    <col min="25" max="25" width="4.5546875" style="143" customWidth="1"/>
    <col min="26" max="26" width="9.5546875" style="143" bestFit="1" customWidth="1"/>
    <col min="27" max="27" width="4.5546875" style="143" customWidth="1"/>
    <col min="28" max="28" width="12.88671875" style="143" bestFit="1" customWidth="1"/>
    <col min="29" max="29" width="12.88671875" style="143" customWidth="1"/>
    <col min="30" max="30" width="17.33203125" style="143" customWidth="1"/>
    <col min="31" max="31" width="9.5546875" style="143" bestFit="1" customWidth="1"/>
    <col min="32" max="33" width="9.5546875" style="143" customWidth="1"/>
    <col min="34" max="34" width="10.6640625" style="143" customWidth="1"/>
    <col min="35" max="36" width="9.5546875" style="143" customWidth="1"/>
    <col min="37" max="37" width="4.5546875" style="143" customWidth="1"/>
    <col min="38" max="38" width="9" style="150" customWidth="1"/>
    <col min="39" max="39" width="9" customWidth="1"/>
    <col min="40" max="40" width="12" style="150" customWidth="1"/>
    <col min="41" max="41" width="4.5546875" style="143" customWidth="1"/>
    <col min="42" max="42" width="20.33203125" style="143" customWidth="1"/>
    <col min="43" max="43" width="13.33203125" style="143" customWidth="1"/>
    <col min="44" max="44" width="20.33203125" style="143" customWidth="1"/>
    <col min="45" max="45" width="8.88671875" style="143"/>
    <col min="46" max="46" width="11.6640625" style="143" bestFit="1" customWidth="1"/>
    <col min="47" max="48" width="11.5546875" style="143" customWidth="1"/>
    <col min="49" max="50" width="12.44140625" style="143" customWidth="1"/>
    <col min="51" max="51" width="8.88671875" style="143"/>
    <col min="52" max="52" width="11.6640625" style="146" bestFit="1" customWidth="1"/>
    <col min="53" max="65" width="8.88671875" style="143"/>
    <col min="66" max="66" width="11.6640625" style="143" bestFit="1" customWidth="1"/>
    <col min="67" max="67" width="8.88671875" style="143"/>
    <col min="68" max="68" width="10.6640625" style="143" customWidth="1"/>
    <col min="69" max="69" width="14.44140625" style="143" bestFit="1" customWidth="1"/>
    <col min="70" max="71" width="10.6640625" style="143" customWidth="1"/>
    <col min="72" max="72" width="11.109375" style="143" customWidth="1"/>
    <col min="73" max="73" width="10.6640625" style="143" customWidth="1"/>
    <col min="74" max="74" width="8.88671875" style="143"/>
    <col min="75" max="75" width="14.44140625" style="143" bestFit="1" customWidth="1"/>
    <col min="76" max="77" width="8.44140625" style="143" bestFit="1" customWidth="1"/>
    <col min="78" max="78" width="9.44140625" style="143" customWidth="1"/>
    <col min="79" max="16384" width="8.88671875" style="143"/>
  </cols>
  <sheetData>
    <row r="1" spans="1:80" ht="23.4" x14ac:dyDescent="0.45">
      <c r="A1" s="142" t="s">
        <v>321</v>
      </c>
      <c r="AH1" s="365" t="s">
        <v>402</v>
      </c>
      <c r="AI1" s="365"/>
      <c r="BO1" s="510" t="s">
        <v>509</v>
      </c>
      <c r="BP1" s="510"/>
      <c r="BQ1" s="510"/>
      <c r="BR1" s="510"/>
      <c r="BS1" s="510"/>
      <c r="BT1" s="510"/>
      <c r="BU1" s="510"/>
      <c r="BV1" s="510"/>
      <c r="BW1" s="510"/>
      <c r="BX1" s="510"/>
      <c r="BY1" s="510"/>
      <c r="BZ1" s="510"/>
      <c r="CA1" s="510"/>
      <c r="CB1" s="510"/>
    </row>
    <row r="2" spans="1:80" x14ac:dyDescent="0.3">
      <c r="BO2" s="474" t="s">
        <v>510</v>
      </c>
    </row>
    <row r="3" spans="1:80" s="224" customFormat="1" ht="72.599999999999994" thickBot="1" x14ac:dyDescent="0.35">
      <c r="D3" s="224" t="s">
        <v>4</v>
      </c>
      <c r="E3" s="224" t="s">
        <v>315</v>
      </c>
      <c r="G3" s="224" t="s">
        <v>4</v>
      </c>
      <c r="H3" s="224" t="s">
        <v>315</v>
      </c>
      <c r="J3" s="224" t="s">
        <v>4</v>
      </c>
      <c r="K3" s="224" t="s">
        <v>317</v>
      </c>
      <c r="L3" s="224" t="s">
        <v>209</v>
      </c>
      <c r="M3" s="224" t="s">
        <v>215</v>
      </c>
      <c r="O3" s="224" t="s">
        <v>282</v>
      </c>
      <c r="P3" s="223" t="s">
        <v>403</v>
      </c>
      <c r="R3" s="224" t="s">
        <v>349</v>
      </c>
      <c r="T3" s="224" t="s">
        <v>354</v>
      </c>
      <c r="V3" s="224" t="s">
        <v>318</v>
      </c>
      <c r="X3" s="223" t="s">
        <v>500</v>
      </c>
      <c r="Z3" s="225" t="s">
        <v>325</v>
      </c>
      <c r="AB3" s="224" t="s">
        <v>326</v>
      </c>
      <c r="AC3" s="223" t="s">
        <v>344</v>
      </c>
      <c r="AD3" s="223" t="s">
        <v>346</v>
      </c>
      <c r="AE3" s="224" t="s">
        <v>325</v>
      </c>
      <c r="AF3" s="223" t="s">
        <v>341</v>
      </c>
      <c r="AG3" s="223" t="s">
        <v>342</v>
      </c>
      <c r="AH3" s="223" t="s">
        <v>485</v>
      </c>
      <c r="AI3" s="223" t="s">
        <v>486</v>
      </c>
      <c r="AJ3" s="223" t="s">
        <v>487</v>
      </c>
      <c r="AL3" s="226" t="s">
        <v>319</v>
      </c>
      <c r="AM3"/>
      <c r="AN3" s="226" t="s">
        <v>320</v>
      </c>
      <c r="AP3" s="224" t="s">
        <v>324</v>
      </c>
      <c r="AQ3" s="224" t="s">
        <v>282</v>
      </c>
      <c r="AR3" s="223" t="s">
        <v>378</v>
      </c>
      <c r="AT3" s="224" t="s">
        <v>326</v>
      </c>
      <c r="AU3" s="329" t="s">
        <v>380</v>
      </c>
      <c r="AV3" s="329" t="s">
        <v>382</v>
      </c>
      <c r="AW3" s="329" t="s">
        <v>383</v>
      </c>
      <c r="AX3" s="330" t="s">
        <v>381</v>
      </c>
      <c r="AZ3" s="227" t="s">
        <v>326</v>
      </c>
      <c r="BA3" s="227" t="s">
        <v>153</v>
      </c>
      <c r="BB3" s="227">
        <v>7</v>
      </c>
      <c r="BC3" s="227" t="s">
        <v>9</v>
      </c>
      <c r="BD3" s="227" t="s">
        <v>11</v>
      </c>
      <c r="BE3" s="227" t="s">
        <v>13</v>
      </c>
      <c r="BF3" s="227" t="s">
        <v>15</v>
      </c>
      <c r="BG3" s="227">
        <v>11</v>
      </c>
      <c r="BH3" s="227">
        <v>14</v>
      </c>
      <c r="BI3" s="227" t="s">
        <v>167</v>
      </c>
      <c r="BJ3" s="227" t="s">
        <v>168</v>
      </c>
      <c r="BK3" s="227" t="s">
        <v>110</v>
      </c>
      <c r="BL3" s="227" t="s">
        <v>111</v>
      </c>
      <c r="BM3" s="227" t="s">
        <v>112</v>
      </c>
      <c r="BN3" s="227" t="s">
        <v>229</v>
      </c>
      <c r="BP3" s="435" t="s">
        <v>432</v>
      </c>
      <c r="BQ3" s="435" t="s">
        <v>451</v>
      </c>
      <c r="BR3" s="435" t="s">
        <v>452</v>
      </c>
      <c r="BS3" s="436" t="s">
        <v>453</v>
      </c>
      <c r="BT3" s="436" t="s">
        <v>454</v>
      </c>
      <c r="BU3" s="435" t="s">
        <v>455</v>
      </c>
      <c r="BW3" s="435" t="s">
        <v>451</v>
      </c>
      <c r="BX3" s="435" t="s">
        <v>452</v>
      </c>
      <c r="BY3" s="436" t="s">
        <v>453</v>
      </c>
      <c r="BZ3" s="436" t="s">
        <v>454</v>
      </c>
      <c r="CA3" s="435" t="s">
        <v>455</v>
      </c>
    </row>
    <row r="4" spans="1:80" ht="15" thickBot="1" x14ac:dyDescent="0.35">
      <c r="A4" s="144" t="s">
        <v>323</v>
      </c>
      <c r="B4" s="145">
        <v>2025</v>
      </c>
      <c r="D4" s="146" t="s">
        <v>205</v>
      </c>
      <c r="E4" s="147">
        <v>2.8000000000000001E-2</v>
      </c>
      <c r="G4" s="143" t="s">
        <v>209</v>
      </c>
      <c r="H4" s="147">
        <v>7.0000000000000001E-3</v>
      </c>
      <c r="J4" s="143" t="s">
        <v>210</v>
      </c>
      <c r="K4" s="143">
        <v>0.85</v>
      </c>
      <c r="L4" s="148" cm="1">
        <f t="array" ref="L4">K4*Table2[Taux]</f>
        <v>5.9499999999999996E-3</v>
      </c>
      <c r="M4" s="148">
        <v>6.9999999999999999E-4</v>
      </c>
      <c r="O4" s="143" t="s">
        <v>69</v>
      </c>
      <c r="P4" s="143" t="s">
        <v>69</v>
      </c>
      <c r="R4" s="143" t="s">
        <v>350</v>
      </c>
      <c r="T4" s="143" t="s">
        <v>351</v>
      </c>
      <c r="V4" s="143" t="s">
        <v>68</v>
      </c>
      <c r="X4" s="143" t="s">
        <v>258</v>
      </c>
      <c r="Z4" s="139" t="s">
        <v>320</v>
      </c>
      <c r="AB4" s="151" t="s">
        <v>340</v>
      </c>
      <c r="AC4" s="151" t="s">
        <v>167</v>
      </c>
      <c r="AD4" s="151" t="s">
        <v>114</v>
      </c>
      <c r="AE4" s="143" t="s">
        <v>320</v>
      </c>
      <c r="AF4" s="143">
        <v>0.625</v>
      </c>
      <c r="AG4" s="143">
        <v>0.82499999999999996</v>
      </c>
      <c r="AH4" s="143">
        <v>0.73450000000000004</v>
      </c>
      <c r="AI4" s="143">
        <v>0.54</v>
      </c>
      <c r="AJ4" s="143">
        <v>0.11</v>
      </c>
      <c r="AL4" s="150">
        <v>7</v>
      </c>
      <c r="AN4" s="143" t="s">
        <v>340</v>
      </c>
      <c r="AP4" s="143" t="s">
        <v>48</v>
      </c>
      <c r="AQ4" s="143" t="s">
        <v>49</v>
      </c>
      <c r="AR4" s="143" t="s">
        <v>48</v>
      </c>
      <c r="AT4" t="s">
        <v>167</v>
      </c>
      <c r="AU4" s="143">
        <f>0.8*0.23</f>
        <v>0.18400000000000002</v>
      </c>
      <c r="AV4" s="143">
        <f>0.2*0.8</f>
        <v>0.16000000000000003</v>
      </c>
      <c r="AW4" s="143">
        <v>0.2</v>
      </c>
      <c r="AX4" s="143">
        <f>1-Table11[[#This Row],[Bachelor et plus (minimum)]]-Table11[[#This Row],[Auxiliaire de vie et ASF (maximum)]]-Table11[[#This Row],[Autres qualifications (maximum)]]</f>
        <v>0.45599999999999991</v>
      </c>
      <c r="AZ4" s="85">
        <v>7</v>
      </c>
      <c r="BA4" s="154">
        <v>9.5251000000000001</v>
      </c>
      <c r="BB4" s="77">
        <f>SUMIFS($BA:$BA,$AZ:$AZ,$AZ4)/SUMIFS($BA:$BA,$AZ:$AZ,BB$3)</f>
        <v>1</v>
      </c>
      <c r="BC4" s="24">
        <f t="shared" ref="BC4:BN16" si="0">SUMIFS($BA:$BA,$AZ:$AZ,$AZ4)/SUMIFS($BA:$BA,$AZ:$AZ,BC$3)</f>
        <v>0.64080811614483124</v>
      </c>
      <c r="BD4" s="24">
        <f t="shared" si="0"/>
        <v>0.70712387343914718</v>
      </c>
      <c r="BE4" s="24">
        <f t="shared" si="0"/>
        <v>0.55840470872391934</v>
      </c>
      <c r="BF4" s="24">
        <f t="shared" si="0"/>
        <v>1.0306318978576066</v>
      </c>
      <c r="BG4" s="24">
        <f t="shared" si="0"/>
        <v>1.0900029753049687</v>
      </c>
      <c r="BH4" s="24">
        <f t="shared" si="0"/>
        <v>1.2796705806486284</v>
      </c>
      <c r="BI4" s="25"/>
      <c r="BJ4" s="25"/>
      <c r="BK4" s="25"/>
      <c r="BL4" s="25"/>
      <c r="BM4" s="25"/>
      <c r="BN4" s="25"/>
      <c r="BP4" s="437" t="s">
        <v>112</v>
      </c>
      <c r="BQ4" t="s">
        <v>69</v>
      </c>
      <c r="BR4" s="65">
        <v>13.032389210019268</v>
      </c>
      <c r="BS4" s="65">
        <v>2.556642581888247</v>
      </c>
      <c r="BT4" s="65">
        <v>5.0974623134040113</v>
      </c>
      <c r="BU4" s="136">
        <v>35754.900880983732</v>
      </c>
      <c r="BW4" t="s">
        <v>69</v>
      </c>
      <c r="BX4" s="65">
        <v>112.87766092699941</v>
      </c>
      <c r="BY4" s="65">
        <v>23.707745968377392</v>
      </c>
      <c r="BZ4" s="65">
        <v>4.7612143759917718</v>
      </c>
      <c r="CA4" s="136">
        <v>46610.597974143209</v>
      </c>
    </row>
    <row r="5" spans="1:80" ht="15" thickBot="1" x14ac:dyDescent="0.35">
      <c r="A5" s="144" t="s">
        <v>322</v>
      </c>
      <c r="B5" s="149">
        <f>365+IF(MOD($B$4,4),0,1)</f>
        <v>365</v>
      </c>
      <c r="D5" s="146" t="s">
        <v>206</v>
      </c>
      <c r="E5" s="147">
        <v>0.08</v>
      </c>
      <c r="J5" s="143" t="s">
        <v>211</v>
      </c>
      <c r="K5" s="143">
        <v>1</v>
      </c>
      <c r="L5" s="148" cm="1">
        <f t="array" ref="L5">K5*Table2[Taux]</f>
        <v>7.0000000000000001E-3</v>
      </c>
      <c r="M5" s="148">
        <v>9.9000000000000008E-3</v>
      </c>
      <c r="O5" s="143" t="s">
        <v>159</v>
      </c>
      <c r="P5" s="143" t="s">
        <v>159</v>
      </c>
      <c r="R5" s="143" t="s">
        <v>121</v>
      </c>
      <c r="T5" s="143" t="s">
        <v>352</v>
      </c>
      <c r="V5" s="143" t="s">
        <v>164</v>
      </c>
      <c r="X5" s="143" t="s">
        <v>257</v>
      </c>
      <c r="Z5" s="140" t="s">
        <v>319</v>
      </c>
      <c r="AB5" s="152" t="s">
        <v>237</v>
      </c>
      <c r="AC5" s="152" t="s">
        <v>168</v>
      </c>
      <c r="AD5" s="152" t="s">
        <v>115</v>
      </c>
      <c r="AE5" s="143" t="s">
        <v>320</v>
      </c>
      <c r="AF5" s="143">
        <v>0.625</v>
      </c>
      <c r="AG5" s="143">
        <v>0.82499999999999996</v>
      </c>
      <c r="AH5" s="143">
        <v>0.82630000000000003</v>
      </c>
      <c r="AI5" s="143">
        <v>0.64</v>
      </c>
      <c r="AJ5" s="143">
        <v>0.11</v>
      </c>
      <c r="AL5" s="150" t="s">
        <v>9</v>
      </c>
      <c r="AN5" s="150" t="s">
        <v>110</v>
      </c>
      <c r="AP5" s="143" t="s">
        <v>51</v>
      </c>
      <c r="AQ5" s="143" t="s">
        <v>52</v>
      </c>
      <c r="AR5" s="143" t="s">
        <v>51</v>
      </c>
      <c r="AT5" t="s">
        <v>168</v>
      </c>
      <c r="AU5" s="143">
        <f>0.3*0.8</f>
        <v>0.24</v>
      </c>
      <c r="AV5" s="143">
        <f t="shared" ref="AV5:AV9" si="1">0.2*0.8</f>
        <v>0.16000000000000003</v>
      </c>
      <c r="AW5" s="143">
        <v>0.2</v>
      </c>
      <c r="AX5" s="143">
        <f>1-Table11[[#This Row],[Bachelor et plus (minimum)]]-Table11[[#This Row],[Auxiliaire de vie et ASF (maximum)]]-Table11[[#This Row],[Autres qualifications (maximum)]]</f>
        <v>0.39999999999999997</v>
      </c>
      <c r="AZ5" s="85" t="s">
        <v>9</v>
      </c>
      <c r="BA5" s="154">
        <v>14.8642</v>
      </c>
      <c r="BB5" s="24">
        <f>SUMIFS($BA:$BA,$AZ:$AZ,$AZ5)/SUMIFS($BA:$BA,$AZ:$AZ,BB$3)</f>
        <v>1.5605295482462127</v>
      </c>
      <c r="BC5" s="77">
        <f t="shared" si="0"/>
        <v>1</v>
      </c>
      <c r="BD5" s="24">
        <f t="shared" si="0"/>
        <v>1.1034876987721043</v>
      </c>
      <c r="BE5" s="24">
        <f t="shared" si="0"/>
        <v>0.87140704784349587</v>
      </c>
      <c r="BF5" s="24">
        <f t="shared" si="0"/>
        <v>1.6083315299718675</v>
      </c>
      <c r="BG5" s="24">
        <f t="shared" si="0"/>
        <v>1.7009818506396905</v>
      </c>
      <c r="BH5" s="24">
        <f t="shared" si="0"/>
        <v>1.9969637531235727</v>
      </c>
      <c r="BI5" s="25"/>
      <c r="BJ5" s="25"/>
      <c r="BK5" s="25"/>
      <c r="BL5" s="25"/>
      <c r="BM5" s="25"/>
      <c r="BN5" s="25"/>
      <c r="BP5" s="437" t="s">
        <v>112</v>
      </c>
      <c r="BQ5" t="s">
        <v>159</v>
      </c>
      <c r="BR5" s="65">
        <v>2.6317822736030827</v>
      </c>
      <c r="BS5" s="65">
        <v>2.5408188824662812</v>
      </c>
      <c r="BT5" s="65">
        <v>1.03580081672272</v>
      </c>
      <c r="BU5" s="136">
        <v>59363.519302277418</v>
      </c>
      <c r="BW5" t="s">
        <v>159</v>
      </c>
      <c r="BX5" s="65">
        <v>120.02246555169511</v>
      </c>
      <c r="BY5" s="65">
        <v>22.264874436072564</v>
      </c>
      <c r="BZ5" s="65">
        <v>5.3906643801790333</v>
      </c>
      <c r="CA5" s="136">
        <v>60422.052346987592</v>
      </c>
    </row>
    <row r="6" spans="1:80" ht="15" thickBot="1" x14ac:dyDescent="0.35">
      <c r="A6" s="144" t="s">
        <v>356</v>
      </c>
      <c r="B6" s="149">
        <f>173*12</f>
        <v>2076</v>
      </c>
      <c r="D6" s="146" t="s">
        <v>207</v>
      </c>
      <c r="E6" s="148">
        <v>2.5000000000000001E-3</v>
      </c>
      <c r="J6" s="143" t="s">
        <v>212</v>
      </c>
      <c r="K6" s="143">
        <v>1.1000000000000001</v>
      </c>
      <c r="L6" s="148" cm="1">
        <f t="array" ref="L6">K6*Table2[Taux]</f>
        <v>7.7000000000000011E-3</v>
      </c>
      <c r="M6" s="148">
        <v>1.4800000000000001E-2</v>
      </c>
      <c r="O6" s="143" t="s">
        <v>160</v>
      </c>
      <c r="P6" s="143" t="s">
        <v>160</v>
      </c>
      <c r="T6" s="143" t="s">
        <v>353</v>
      </c>
      <c r="V6" s="143" t="s">
        <v>163</v>
      </c>
      <c r="AB6" s="151" t="s">
        <v>110</v>
      </c>
      <c r="AC6" s="151" t="s">
        <v>110</v>
      </c>
      <c r="AD6" s="151" t="s">
        <v>116</v>
      </c>
      <c r="AE6" s="143" t="s">
        <v>320</v>
      </c>
      <c r="AF6" s="143">
        <v>0.625</v>
      </c>
      <c r="AG6" s="143">
        <v>0.82499999999999996</v>
      </c>
      <c r="AH6" s="143">
        <v>1.22</v>
      </c>
      <c r="AL6" s="150" t="s">
        <v>11</v>
      </c>
      <c r="AN6" s="150" t="s">
        <v>112</v>
      </c>
      <c r="AP6" s="143" t="s">
        <v>48</v>
      </c>
      <c r="AQ6" s="143" t="s">
        <v>53</v>
      </c>
      <c r="AR6" s="143" t="s">
        <v>48</v>
      </c>
      <c r="AT6" t="s">
        <v>110</v>
      </c>
      <c r="AU6" s="143">
        <f>0.4*0.8</f>
        <v>0.32000000000000006</v>
      </c>
      <c r="AV6" s="143">
        <f t="shared" si="1"/>
        <v>0.16000000000000003</v>
      </c>
      <c r="AW6" s="143">
        <v>0.2</v>
      </c>
      <c r="AX6" s="143">
        <f>1-Table11[[#This Row],[Bachelor et plus (minimum)]]-Table11[[#This Row],[Auxiliaire de vie et ASF (maximum)]]-Table11[[#This Row],[Autres qualifications (maximum)]]</f>
        <v>0.3199999999999999</v>
      </c>
      <c r="AZ6" s="85" t="s">
        <v>11</v>
      </c>
      <c r="BA6" s="154">
        <v>13.4702</v>
      </c>
      <c r="BB6" s="24">
        <f t="shared" ref="BB6:BB10" si="2">SUMIFS($BA:$BA,$AZ:$AZ,$AZ6)/SUMIFS($BA:$BA,$AZ:$AZ,BB$3)</f>
        <v>1.414179378694187</v>
      </c>
      <c r="BC6" s="24">
        <f t="shared" si="0"/>
        <v>0.90621762355188973</v>
      </c>
      <c r="BD6" s="77">
        <f t="shared" si="0"/>
        <v>1</v>
      </c>
      <c r="BE6" s="24">
        <f t="shared" si="0"/>
        <v>0.7896844240431008</v>
      </c>
      <c r="BF6" s="24">
        <f t="shared" si="0"/>
        <v>1.4574983769746808</v>
      </c>
      <c r="BG6" s="24">
        <f t="shared" si="0"/>
        <v>1.541459730391596</v>
      </c>
      <c r="BH6" s="24">
        <f t="shared" si="0"/>
        <v>1.8096837466749067</v>
      </c>
      <c r="BI6" s="25"/>
      <c r="BJ6" s="25"/>
      <c r="BK6" s="25"/>
      <c r="BL6" s="25"/>
      <c r="BM6" s="25"/>
      <c r="BN6" s="25"/>
      <c r="BP6" s="437" t="s">
        <v>112</v>
      </c>
      <c r="BQ6" t="s">
        <v>162</v>
      </c>
      <c r="BR6" s="65">
        <v>62.552339113680155</v>
      </c>
      <c r="BS6" s="65">
        <v>4.7291075144508676</v>
      </c>
      <c r="BT6" s="65">
        <v>13.227091776310266</v>
      </c>
      <c r="BU6" s="136">
        <v>104260.74442433407</v>
      </c>
      <c r="BW6" t="s">
        <v>160</v>
      </c>
      <c r="BX6" s="65">
        <v>250.77357130300231</v>
      </c>
      <c r="BY6" s="65">
        <v>24.229565409484742</v>
      </c>
      <c r="BZ6" s="65">
        <v>10.349899681025075</v>
      </c>
      <c r="CA6" s="136">
        <v>63985.167213624016</v>
      </c>
    </row>
    <row r="7" spans="1:80" ht="15" thickBot="1" x14ac:dyDescent="0.35">
      <c r="A7" s="144" t="s">
        <v>365</v>
      </c>
      <c r="B7" s="145">
        <v>8</v>
      </c>
      <c r="D7" s="146" t="s">
        <v>208</v>
      </c>
      <c r="E7" s="148">
        <v>1.4E-3</v>
      </c>
      <c r="J7" s="143" t="s">
        <v>213</v>
      </c>
      <c r="K7" s="143">
        <v>1.3</v>
      </c>
      <c r="L7" s="148" cm="1">
        <f t="array" ref="L7">K7*Table2[Taux]</f>
        <v>9.1000000000000004E-3</v>
      </c>
      <c r="M7" s="148">
        <v>2.64E-2</v>
      </c>
      <c r="O7" s="143" t="s">
        <v>161</v>
      </c>
      <c r="P7" s="143" t="s">
        <v>161</v>
      </c>
      <c r="T7" s="143" t="s">
        <v>423</v>
      </c>
      <c r="V7" s="143" t="s">
        <v>377</v>
      </c>
      <c r="AB7" s="151" t="s">
        <v>112</v>
      </c>
      <c r="AC7" s="151" t="s">
        <v>112</v>
      </c>
      <c r="AD7" s="151" t="s">
        <v>345</v>
      </c>
      <c r="AE7" s="143" t="s">
        <v>320</v>
      </c>
      <c r="AF7" s="143">
        <v>0.625</v>
      </c>
      <c r="AG7" s="143">
        <v>0.82499999999999996</v>
      </c>
      <c r="AH7" s="143">
        <v>1.1936</v>
      </c>
      <c r="AI7" s="143">
        <v>1.17</v>
      </c>
      <c r="AL7" s="150" t="s">
        <v>13</v>
      </c>
      <c r="AN7" s="150" t="s">
        <v>111</v>
      </c>
      <c r="AP7" s="143" t="s">
        <v>50</v>
      </c>
      <c r="AQ7" s="143" t="s">
        <v>54</v>
      </c>
      <c r="AR7" s="143" t="s">
        <v>50</v>
      </c>
      <c r="AT7" t="s">
        <v>112</v>
      </c>
      <c r="AU7" s="143">
        <f t="shared" ref="AU7:AU8" si="3">0.4*0.8</f>
        <v>0.32000000000000006</v>
      </c>
      <c r="AV7" s="143">
        <f t="shared" si="1"/>
        <v>0.16000000000000003</v>
      </c>
      <c r="AW7" s="143">
        <v>0.2</v>
      </c>
      <c r="AX7" s="143">
        <f>1-Table11[[#This Row],[Bachelor et plus (minimum)]]-Table11[[#This Row],[Auxiliaire de vie et ASF (maximum)]]-Table11[[#This Row],[Autres qualifications (maximum)]]</f>
        <v>0.3199999999999999</v>
      </c>
      <c r="AZ7" s="85" t="s">
        <v>13</v>
      </c>
      <c r="BA7" s="154">
        <v>17.057700000000001</v>
      </c>
      <c r="BB7" s="24">
        <f t="shared" si="2"/>
        <v>1.7908158444530766</v>
      </c>
      <c r="BC7" s="24">
        <f t="shared" si="0"/>
        <v>1.147569327646291</v>
      </c>
      <c r="BD7" s="24">
        <f t="shared" si="0"/>
        <v>1.2663286365458568</v>
      </c>
      <c r="BE7" s="77">
        <f t="shared" si="0"/>
        <v>1</v>
      </c>
      <c r="BF7" s="24">
        <f t="shared" si="0"/>
        <v>1.8456719324821467</v>
      </c>
      <c r="BG7" s="24">
        <f t="shared" si="0"/>
        <v>1.9519945986771337</v>
      </c>
      <c r="BH7" s="24">
        <f t="shared" si="0"/>
        <v>2.2916543515060326</v>
      </c>
      <c r="BI7" s="25"/>
      <c r="BJ7" s="25"/>
      <c r="BK7" s="25"/>
      <c r="BL7" s="25"/>
      <c r="BM7" s="25"/>
      <c r="BN7" s="25"/>
      <c r="BP7" s="437" t="s">
        <v>112</v>
      </c>
      <c r="BQ7" t="s">
        <v>70</v>
      </c>
      <c r="BR7" s="65">
        <v>85.694532396559055</v>
      </c>
      <c r="BS7" s="65">
        <v>10.075268003552734</v>
      </c>
      <c r="BT7" s="65">
        <v>8.5054345319987021</v>
      </c>
      <c r="BU7" s="136">
        <v>112857.71152908918</v>
      </c>
      <c r="BW7" t="s">
        <v>161</v>
      </c>
      <c r="BX7" s="65">
        <v>86.286271221532076</v>
      </c>
      <c r="BY7" s="65">
        <v>14.611506038647342</v>
      </c>
      <c r="BZ7" s="65">
        <v>5.9053646484698721</v>
      </c>
      <c r="CA7" s="136">
        <v>74783.497095773622</v>
      </c>
    </row>
    <row r="8" spans="1:80" ht="15" thickBot="1" x14ac:dyDescent="0.35">
      <c r="A8" s="144" t="s">
        <v>366</v>
      </c>
      <c r="B8" s="149">
        <v>11</v>
      </c>
      <c r="J8" s="143" t="s">
        <v>214</v>
      </c>
      <c r="K8" s="143">
        <v>1.5</v>
      </c>
      <c r="L8" s="148" cm="1">
        <f t="array" ref="L8">K8*Table2[Taux]</f>
        <v>1.0500000000000001E-2</v>
      </c>
      <c r="O8" s="143" t="s">
        <v>162</v>
      </c>
      <c r="P8" s="143" t="s">
        <v>162</v>
      </c>
      <c r="AB8" s="151" t="s">
        <v>111</v>
      </c>
      <c r="AC8" s="151" t="s">
        <v>111</v>
      </c>
      <c r="AD8" s="151" t="s">
        <v>117</v>
      </c>
      <c r="AE8" s="143" t="s">
        <v>320</v>
      </c>
      <c r="AF8" s="143">
        <v>0.625</v>
      </c>
      <c r="AG8" s="143">
        <v>0.82499999999999996</v>
      </c>
      <c r="AH8" s="143">
        <v>1.0304</v>
      </c>
      <c r="AI8" s="143">
        <v>0.9</v>
      </c>
      <c r="AJ8" s="143">
        <v>0.11</v>
      </c>
      <c r="AL8" s="150" t="s">
        <v>15</v>
      </c>
      <c r="AN8" s="150" t="s">
        <v>229</v>
      </c>
      <c r="AP8" s="143" t="s">
        <v>50</v>
      </c>
      <c r="AQ8" s="143" t="s">
        <v>55</v>
      </c>
      <c r="AR8" s="143" t="s">
        <v>50</v>
      </c>
      <c r="AT8" t="s">
        <v>111</v>
      </c>
      <c r="AU8" s="143">
        <f t="shared" si="3"/>
        <v>0.32000000000000006</v>
      </c>
      <c r="AV8" s="143">
        <f t="shared" si="1"/>
        <v>0.16000000000000003</v>
      </c>
      <c r="AW8" s="143">
        <v>0.2</v>
      </c>
      <c r="AX8" s="143">
        <f>1-Table11[[#This Row],[Bachelor et plus (minimum)]]-Table11[[#This Row],[Auxiliaire de vie et ASF (maximum)]]-Table11[[#This Row],[Autres qualifications (maximum)]]</f>
        <v>0.3199999999999999</v>
      </c>
      <c r="AZ8" s="85" t="s">
        <v>15</v>
      </c>
      <c r="BA8" s="154">
        <v>9.2420000000000009</v>
      </c>
      <c r="BB8" s="24">
        <f t="shared" si="2"/>
        <v>0.97027852725955643</v>
      </c>
      <c r="BC8" s="24">
        <f t="shared" si="0"/>
        <v>0.6217623551889776</v>
      </c>
      <c r="BD8" s="24">
        <f t="shared" si="0"/>
        <v>0.68610711051060869</v>
      </c>
      <c r="BE8" s="24">
        <f t="shared" si="0"/>
        <v>0.54180809839544608</v>
      </c>
      <c r="BF8" s="77">
        <f t="shared" si="0"/>
        <v>1</v>
      </c>
      <c r="BG8" s="24">
        <f t="shared" si="0"/>
        <v>1.0576064815874398</v>
      </c>
      <c r="BH8" s="24">
        <f t="shared" si="0"/>
        <v>1.2416368863691325</v>
      </c>
      <c r="BI8" s="25"/>
      <c r="BJ8" s="25"/>
      <c r="BK8" s="25"/>
      <c r="BL8" s="25"/>
      <c r="BM8" s="25"/>
      <c r="BN8" s="25"/>
      <c r="BP8" s="437" t="s">
        <v>112</v>
      </c>
      <c r="BQ8" t="s">
        <v>71</v>
      </c>
      <c r="BR8" s="65">
        <v>68.557483647505535</v>
      </c>
      <c r="BS8" s="65">
        <v>6.1393299188172508</v>
      </c>
      <c r="BT8" s="65">
        <v>11.166932638263106</v>
      </c>
      <c r="BU8" s="136">
        <v>129751.93440453176</v>
      </c>
      <c r="BW8" t="s">
        <v>162</v>
      </c>
      <c r="BX8" s="65">
        <v>427.39208464403356</v>
      </c>
      <c r="BY8" s="65">
        <v>61.419370323373286</v>
      </c>
      <c r="BZ8" s="65">
        <v>6.9585878590713666</v>
      </c>
      <c r="CA8" s="136">
        <v>79205.7031565137</v>
      </c>
    </row>
    <row r="9" spans="1:80" ht="15" thickBot="1" x14ac:dyDescent="0.35">
      <c r="A9" s="144" t="s">
        <v>367</v>
      </c>
      <c r="B9" s="149">
        <v>34</v>
      </c>
      <c r="D9" s="284"/>
      <c r="O9" s="143" t="s">
        <v>70</v>
      </c>
      <c r="P9" s="143" t="s">
        <v>70</v>
      </c>
      <c r="AB9" s="151" t="s">
        <v>229</v>
      </c>
      <c r="AC9" s="151" t="s">
        <v>229</v>
      </c>
      <c r="AD9" s="151" t="s">
        <v>229</v>
      </c>
      <c r="AE9" s="143" t="s">
        <v>320</v>
      </c>
      <c r="AF9" s="143">
        <v>0.625</v>
      </c>
      <c r="AG9" s="143">
        <v>0.82499999999999996</v>
      </c>
      <c r="AH9" s="143">
        <v>1.39</v>
      </c>
      <c r="AL9" s="150">
        <v>11</v>
      </c>
      <c r="AN9" s="150" t="s">
        <v>118</v>
      </c>
      <c r="AP9" s="143" t="s">
        <v>51</v>
      </c>
      <c r="AQ9" s="143" t="s">
        <v>56</v>
      </c>
      <c r="AR9" s="143" t="s">
        <v>51</v>
      </c>
      <c r="AT9" t="s">
        <v>229</v>
      </c>
      <c r="AU9" s="143">
        <f>0.265*0.8</f>
        <v>0.21200000000000002</v>
      </c>
      <c r="AV9" s="143">
        <f t="shared" si="1"/>
        <v>0.16000000000000003</v>
      </c>
      <c r="AW9" s="143">
        <v>0.2</v>
      </c>
      <c r="AX9" s="143">
        <f>1-Table11[[#This Row],[Bachelor et plus (minimum)]]-Table11[[#This Row],[Auxiliaire de vie et ASF (maximum)]]-Table11[[#This Row],[Autres qualifications (maximum)]]</f>
        <v>0.42799999999999999</v>
      </c>
      <c r="AZ9" s="85">
        <v>11</v>
      </c>
      <c r="BA9" s="154">
        <v>8.7385999999999999</v>
      </c>
      <c r="BB9" s="24">
        <f t="shared" si="2"/>
        <v>0.91742868841272007</v>
      </c>
      <c r="BC9" s="24">
        <f t="shared" si="0"/>
        <v>0.58789574951897849</v>
      </c>
      <c r="BD9" s="24">
        <f t="shared" si="0"/>
        <v>0.64873572775459898</v>
      </c>
      <c r="BE9" s="24">
        <f t="shared" si="0"/>
        <v>0.51229649952807232</v>
      </c>
      <c r="BF9" s="24">
        <f t="shared" si="0"/>
        <v>0.94553127028781636</v>
      </c>
      <c r="BG9" s="77">
        <f t="shared" si="0"/>
        <v>1</v>
      </c>
      <c r="BH9" s="24">
        <f t="shared" si="0"/>
        <v>1.174006502404815</v>
      </c>
      <c r="BI9" s="25"/>
      <c r="BJ9" s="25"/>
      <c r="BK9" s="25"/>
      <c r="BL9" s="25"/>
      <c r="BM9" s="25"/>
      <c r="BN9" s="25"/>
      <c r="BP9" s="438" t="s">
        <v>112</v>
      </c>
      <c r="BQ9" t="s">
        <v>72</v>
      </c>
      <c r="BR9" s="65">
        <v>21.669343880114059</v>
      </c>
      <c r="BS9" s="65">
        <v>5.2265764906489949</v>
      </c>
      <c r="BT9" s="65">
        <v>4.1459919162922905</v>
      </c>
      <c r="BU9" s="136">
        <v>134437.75304656933</v>
      </c>
      <c r="BW9" t="s">
        <v>70</v>
      </c>
      <c r="BX9" s="65">
        <v>3936.2833125806055</v>
      </c>
      <c r="BY9" s="65">
        <v>439.26337378139618</v>
      </c>
      <c r="BZ9" s="65">
        <v>8.9611006688200145</v>
      </c>
      <c r="CA9" s="136">
        <v>102930.9301827279</v>
      </c>
    </row>
    <row r="10" spans="1:80" ht="15" thickBot="1" x14ac:dyDescent="0.35">
      <c r="A10" s="144" t="s">
        <v>379</v>
      </c>
      <c r="B10" s="149">
        <v>24</v>
      </c>
      <c r="D10" s="284"/>
      <c r="O10" s="143" t="s">
        <v>71</v>
      </c>
      <c r="P10" s="143" t="s">
        <v>71</v>
      </c>
      <c r="AB10" s="152">
        <v>7</v>
      </c>
      <c r="AC10" s="152">
        <v>7</v>
      </c>
      <c r="AD10" s="152" t="s">
        <v>7</v>
      </c>
      <c r="AE10" s="143" t="s">
        <v>319</v>
      </c>
      <c r="AF10" s="143">
        <v>0.625</v>
      </c>
      <c r="AG10" s="143">
        <v>0.82499999999999996</v>
      </c>
      <c r="AL10" s="150">
        <v>14</v>
      </c>
      <c r="AN10" s="150" t="s">
        <v>119</v>
      </c>
      <c r="AP10" s="143" t="s">
        <v>51</v>
      </c>
      <c r="AQ10" s="143" t="s">
        <v>57</v>
      </c>
      <c r="AR10" s="143" t="s">
        <v>51</v>
      </c>
      <c r="AZ10" s="85">
        <v>14</v>
      </c>
      <c r="BA10" s="466">
        <v>7.4433999999999996</v>
      </c>
      <c r="BB10" s="24">
        <f t="shared" si="2"/>
        <v>0.78145111337413775</v>
      </c>
      <c r="BC10" s="24">
        <f t="shared" si="0"/>
        <v>0.50076021582056207</v>
      </c>
      <c r="BD10" s="24">
        <f t="shared" si="0"/>
        <v>0.5525827381924544</v>
      </c>
      <c r="BE10" s="24">
        <f t="shared" si="0"/>
        <v>0.4363659813456679</v>
      </c>
      <c r="BF10" s="24">
        <f t="shared" si="0"/>
        <v>0.8053884440597272</v>
      </c>
      <c r="BG10" s="24">
        <f t="shared" si="0"/>
        <v>0.85178403863319063</v>
      </c>
      <c r="BH10" s="77">
        <f t="shared" si="0"/>
        <v>1</v>
      </c>
      <c r="BI10" s="25"/>
      <c r="BJ10" s="25"/>
      <c r="BK10" s="25"/>
      <c r="BL10" s="25"/>
      <c r="BM10" s="25"/>
      <c r="BN10" s="25"/>
      <c r="BP10" s="437" t="s">
        <v>456</v>
      </c>
      <c r="BQ10" t="s">
        <v>72</v>
      </c>
      <c r="BR10" s="65">
        <v>204.39786240847783</v>
      </c>
      <c r="BS10" s="65">
        <v>20.080115876685937</v>
      </c>
      <c r="BT10" s="65">
        <v>10.179117673608369</v>
      </c>
      <c r="BU10" s="136">
        <v>141766.48983426124</v>
      </c>
      <c r="BW10" t="s">
        <v>71</v>
      </c>
      <c r="BX10" s="65">
        <v>171.19776853751009</v>
      </c>
      <c r="BY10" s="65">
        <v>11.827527130337497</v>
      </c>
      <c r="BZ10" s="65">
        <v>14.474519200077706</v>
      </c>
      <c r="CA10" s="136">
        <v>133268.89090388734</v>
      </c>
    </row>
    <row r="11" spans="1:80" x14ac:dyDescent="0.3">
      <c r="O11" s="143" t="s">
        <v>179</v>
      </c>
      <c r="P11" s="440" t="s">
        <v>71</v>
      </c>
      <c r="AB11" s="152" t="s">
        <v>9</v>
      </c>
      <c r="AC11" s="152" t="s">
        <v>9</v>
      </c>
      <c r="AD11" s="152" t="s">
        <v>8</v>
      </c>
      <c r="AE11" s="143" t="s">
        <v>319</v>
      </c>
      <c r="AF11" s="143">
        <v>0.625</v>
      </c>
      <c r="AG11" s="143">
        <v>0.82499999999999996</v>
      </c>
      <c r="AP11" s="143" t="s">
        <v>51</v>
      </c>
      <c r="AQ11" s="143" t="s">
        <v>149</v>
      </c>
      <c r="AR11" s="143" t="s">
        <v>51</v>
      </c>
      <c r="AZ11" s="85" t="s">
        <v>167</v>
      </c>
      <c r="BA11" s="154">
        <v>36.1402</v>
      </c>
      <c r="BB11" s="25"/>
      <c r="BC11" s="25"/>
      <c r="BD11" s="25"/>
      <c r="BE11" s="25"/>
      <c r="BF11" s="25"/>
      <c r="BG11" s="25"/>
      <c r="BH11" s="25"/>
      <c r="BI11" s="77">
        <f t="shared" si="0"/>
        <v>1</v>
      </c>
      <c r="BJ11" s="24">
        <f t="shared" si="0"/>
        <v>0.88907312057034205</v>
      </c>
      <c r="BK11" s="24">
        <f t="shared" si="0"/>
        <v>0.61220541800490569</v>
      </c>
      <c r="BL11" s="24">
        <f t="shared" si="0"/>
        <v>0.77154232891773311</v>
      </c>
      <c r="BM11" s="24">
        <f t="shared" si="0"/>
        <v>0.59571725510040929</v>
      </c>
      <c r="BN11" s="24">
        <f t="shared" si="0"/>
        <v>0.56543098619755239</v>
      </c>
      <c r="BP11" s="438" t="s">
        <v>456</v>
      </c>
      <c r="BQ11" t="s">
        <v>73</v>
      </c>
      <c r="BR11" s="65">
        <v>5.3999999999999995</v>
      </c>
      <c r="BS11" s="65">
        <v>0.6</v>
      </c>
      <c r="BT11" s="65">
        <v>9</v>
      </c>
      <c r="BU11" s="136">
        <v>152700.25587150353</v>
      </c>
      <c r="BW11" t="s">
        <v>72</v>
      </c>
      <c r="BX11" s="65">
        <v>3088.0816674931389</v>
      </c>
      <c r="BY11" s="65">
        <v>393.04418864505317</v>
      </c>
      <c r="BZ11" s="65">
        <v>7.8568307500963872</v>
      </c>
      <c r="CA11" s="136">
        <v>141200.74925748212</v>
      </c>
    </row>
    <row r="12" spans="1:80" x14ac:dyDescent="0.3">
      <c r="O12" s="143" t="s">
        <v>72</v>
      </c>
      <c r="P12" s="143" t="s">
        <v>72</v>
      </c>
      <c r="AB12" s="152" t="s">
        <v>11</v>
      </c>
      <c r="AC12" s="152" t="s">
        <v>11</v>
      </c>
      <c r="AD12" s="152" t="s">
        <v>10</v>
      </c>
      <c r="AE12" s="143" t="s">
        <v>319</v>
      </c>
      <c r="AF12" s="143">
        <v>0.625</v>
      </c>
      <c r="AG12" s="143">
        <v>0.82499999999999996</v>
      </c>
      <c r="AP12" s="143" t="s">
        <v>58</v>
      </c>
      <c r="AQ12" s="143" t="s">
        <v>150</v>
      </c>
      <c r="AR12" s="143" t="s">
        <v>58</v>
      </c>
      <c r="AZ12" s="85" t="s">
        <v>168</v>
      </c>
      <c r="BA12" s="154">
        <v>40.649299999999997</v>
      </c>
      <c r="BB12" s="25"/>
      <c r="BC12" s="25"/>
      <c r="BD12" s="25"/>
      <c r="BE12" s="25"/>
      <c r="BF12" s="25"/>
      <c r="BG12" s="25"/>
      <c r="BH12" s="25"/>
      <c r="BI12" s="24">
        <f t="shared" si="0"/>
        <v>1.1247668800947421</v>
      </c>
      <c r="BJ12" s="77">
        <f t="shared" si="0"/>
        <v>1</v>
      </c>
      <c r="BK12" s="24">
        <f t="shared" si="0"/>
        <v>0.68858837798647521</v>
      </c>
      <c r="BL12" s="24">
        <f t="shared" si="0"/>
        <v>0.86780525815782994</v>
      </c>
      <c r="BM12" s="24">
        <f t="shared" si="0"/>
        <v>0.67004303843789093</v>
      </c>
      <c r="BN12" s="24">
        <f t="shared" si="0"/>
        <v>0.6359780462543142</v>
      </c>
      <c r="BP12" s="437" t="s">
        <v>457</v>
      </c>
      <c r="BQ12" t="s">
        <v>69</v>
      </c>
      <c r="BR12" s="65">
        <v>18.515512265512267</v>
      </c>
      <c r="BS12" s="65">
        <v>3.3277417027417027</v>
      </c>
      <c r="BT12" s="65">
        <v>5.5639872079787533</v>
      </c>
      <c r="BU12" s="136">
        <v>47339.989617868705</v>
      </c>
      <c r="BW12" t="s">
        <v>73</v>
      </c>
      <c r="BX12" s="65">
        <v>628.54614215030676</v>
      </c>
      <c r="BY12" s="65">
        <v>69.968829516501486</v>
      </c>
      <c r="BZ12" s="65">
        <v>8.9832307685248622</v>
      </c>
      <c r="CA12" s="136">
        <v>154056.29620100101</v>
      </c>
    </row>
    <row r="13" spans="1:80" x14ac:dyDescent="0.3">
      <c r="O13" s="143" t="s">
        <v>73</v>
      </c>
      <c r="P13" s="143" t="s">
        <v>73</v>
      </c>
      <c r="AB13" s="152" t="s">
        <v>13</v>
      </c>
      <c r="AC13" s="152" t="s">
        <v>13</v>
      </c>
      <c r="AD13" s="152" t="s">
        <v>12</v>
      </c>
      <c r="AE13" s="143" t="s">
        <v>319</v>
      </c>
      <c r="AF13" s="143">
        <v>0.625</v>
      </c>
      <c r="AG13" s="143">
        <v>0.82499999999999996</v>
      </c>
      <c r="AP13" s="143" t="s">
        <v>48</v>
      </c>
      <c r="AQ13" s="143" t="s">
        <v>59</v>
      </c>
      <c r="AR13" s="143" t="s">
        <v>58</v>
      </c>
      <c r="AZ13" s="85" t="s">
        <v>110</v>
      </c>
      <c r="BA13" s="154">
        <v>59.032800000000002</v>
      </c>
      <c r="BB13" s="25"/>
      <c r="BC13" s="25"/>
      <c r="BD13" s="25"/>
      <c r="BE13" s="25"/>
      <c r="BF13" s="25"/>
      <c r="BG13" s="25"/>
      <c r="BH13" s="25"/>
      <c r="BI13" s="24">
        <f t="shared" si="0"/>
        <v>1.6334386638701501</v>
      </c>
      <c r="BJ13" s="24">
        <f t="shared" si="0"/>
        <v>1.4522464101472843</v>
      </c>
      <c r="BK13" s="77">
        <f t="shared" si="0"/>
        <v>1</v>
      </c>
      <c r="BL13" s="24">
        <f t="shared" si="0"/>
        <v>1.2602670708666459</v>
      </c>
      <c r="BM13" s="24">
        <f t="shared" si="0"/>
        <v>0.97306759721560598</v>
      </c>
      <c r="BN13" s="24">
        <f t="shared" si="0"/>
        <v>0.92359683460531128</v>
      </c>
      <c r="BP13" s="437" t="s">
        <v>457</v>
      </c>
      <c r="BQ13" t="s">
        <v>160</v>
      </c>
      <c r="BR13" s="65">
        <v>95.776795940683527</v>
      </c>
      <c r="BS13" s="65">
        <v>9.5585845606234692</v>
      </c>
      <c r="BT13" s="65">
        <v>10.019976842098092</v>
      </c>
      <c r="BU13" s="136">
        <v>49733.024207950657</v>
      </c>
    </row>
    <row r="14" spans="1:80" x14ac:dyDescent="0.3">
      <c r="O14" s="143" t="s">
        <v>49</v>
      </c>
      <c r="P14" s="143" t="s">
        <v>72</v>
      </c>
      <c r="AB14" s="152" t="s">
        <v>15</v>
      </c>
      <c r="AC14" s="152" t="s">
        <v>15</v>
      </c>
      <c r="AD14" s="152" t="s">
        <v>14</v>
      </c>
      <c r="AE14" s="143" t="s">
        <v>319</v>
      </c>
      <c r="AF14" s="143">
        <v>0.6</v>
      </c>
      <c r="AG14" s="143">
        <v>0.8</v>
      </c>
      <c r="AP14" s="143" t="s">
        <v>50</v>
      </c>
      <c r="AQ14" s="143" t="s">
        <v>60</v>
      </c>
      <c r="AR14" s="143" t="s">
        <v>58</v>
      </c>
      <c r="AZ14" s="85" t="s">
        <v>111</v>
      </c>
      <c r="BA14" s="154">
        <v>46.841500000000003</v>
      </c>
      <c r="BB14" s="25"/>
      <c r="BC14" s="25"/>
      <c r="BD14" s="25"/>
      <c r="BE14" s="25"/>
      <c r="BF14" s="25"/>
      <c r="BG14" s="25"/>
      <c r="BH14" s="25"/>
      <c r="BI14" s="24">
        <f t="shared" si="0"/>
        <v>1.296105168206042</v>
      </c>
      <c r="BJ14" s="24">
        <f t="shared" si="0"/>
        <v>1.1523322664842939</v>
      </c>
      <c r="BK14" s="24">
        <f t="shared" si="0"/>
        <v>0.79348260627989864</v>
      </c>
      <c r="BL14" s="77">
        <f t="shared" si="0"/>
        <v>1</v>
      </c>
      <c r="BM14" s="24">
        <f t="shared" si="0"/>
        <v>0.77211221312515765</v>
      </c>
      <c r="BN14" s="24">
        <f t="shared" si="0"/>
        <v>0.73285802347448692</v>
      </c>
      <c r="BP14" s="437" t="s">
        <v>457</v>
      </c>
      <c r="BQ14" t="s">
        <v>162</v>
      </c>
      <c r="BR14" s="65">
        <v>12.815389924085576</v>
      </c>
      <c r="BS14" s="65">
        <v>1.4478951000690132</v>
      </c>
      <c r="BT14" s="65">
        <v>8.8510486177311716</v>
      </c>
      <c r="BU14" s="136">
        <v>73686.913564397008</v>
      </c>
    </row>
    <row r="15" spans="1:80" x14ac:dyDescent="0.3">
      <c r="O15" s="143" t="s">
        <v>52</v>
      </c>
      <c r="P15" s="143" t="s">
        <v>162</v>
      </c>
      <c r="AB15" s="152">
        <v>11</v>
      </c>
      <c r="AC15" s="152">
        <v>11</v>
      </c>
      <c r="AD15" s="152" t="s">
        <v>16</v>
      </c>
      <c r="AE15" s="143" t="s">
        <v>319</v>
      </c>
      <c r="AF15" s="143">
        <v>0.625</v>
      </c>
      <c r="AG15" s="143">
        <v>0.82499999999999996</v>
      </c>
      <c r="AP15" s="143" t="s">
        <v>51</v>
      </c>
      <c r="AQ15" s="143" t="s">
        <v>62</v>
      </c>
      <c r="AR15" s="143" t="s">
        <v>58</v>
      </c>
      <c r="AZ15" s="85" t="s">
        <v>112</v>
      </c>
      <c r="BA15" s="154">
        <v>60.666699999999999</v>
      </c>
      <c r="BB15" s="25"/>
      <c r="BC15" s="25"/>
      <c r="BD15" s="25"/>
      <c r="BE15" s="25"/>
      <c r="BF15" s="25"/>
      <c r="BG15" s="25"/>
      <c r="BH15" s="25"/>
      <c r="BI15" s="24">
        <f t="shared" si="0"/>
        <v>1.6786487069800389</v>
      </c>
      <c r="BJ15" s="24">
        <f t="shared" si="0"/>
        <v>1.4924414442561127</v>
      </c>
      <c r="BK15" s="24">
        <f t="shared" si="0"/>
        <v>1.0276778333401091</v>
      </c>
      <c r="BL15" s="24">
        <f t="shared" si="0"/>
        <v>1.2951485328181205</v>
      </c>
      <c r="BM15" s="77">
        <f t="shared" si="0"/>
        <v>1</v>
      </c>
      <c r="BN15" s="24">
        <f t="shared" si="0"/>
        <v>0.94915999386696948</v>
      </c>
      <c r="BP15" s="438" t="s">
        <v>457</v>
      </c>
      <c r="BQ15" t="s">
        <v>72</v>
      </c>
      <c r="BR15" s="65">
        <v>10.833333333333334</v>
      </c>
      <c r="BS15" s="65">
        <v>0.83333333333333337</v>
      </c>
      <c r="BT15" s="65">
        <v>13</v>
      </c>
      <c r="BU15" s="136">
        <v>154762.75605861534</v>
      </c>
    </row>
    <row r="16" spans="1:80" x14ac:dyDescent="0.3">
      <c r="O16" s="143" t="s">
        <v>53</v>
      </c>
      <c r="P16" s="143" t="s">
        <v>73</v>
      </c>
      <c r="AB16" s="152">
        <v>14</v>
      </c>
      <c r="AC16" s="152">
        <v>14</v>
      </c>
      <c r="AD16" s="152" t="s">
        <v>36</v>
      </c>
      <c r="AE16" s="143" t="s">
        <v>319</v>
      </c>
      <c r="AF16" s="143">
        <v>0.625</v>
      </c>
      <c r="AG16" s="143">
        <v>0.82499999999999996</v>
      </c>
      <c r="AP16" s="143" t="s">
        <v>58</v>
      </c>
      <c r="AQ16" s="143" t="s">
        <v>63</v>
      </c>
      <c r="AR16" s="143" t="s">
        <v>58</v>
      </c>
      <c r="AZ16" s="85" t="s">
        <v>229</v>
      </c>
      <c r="BA16" s="154">
        <v>63.916200000000003</v>
      </c>
      <c r="BB16" s="25"/>
      <c r="BC16" s="25"/>
      <c r="BD16" s="25"/>
      <c r="BE16" s="25"/>
      <c r="BF16" s="25"/>
      <c r="BG16" s="25"/>
      <c r="BH16" s="25"/>
      <c r="BI16" s="24">
        <f t="shared" si="0"/>
        <v>1.7685624318625797</v>
      </c>
      <c r="BJ16" s="24">
        <f t="shared" si="0"/>
        <v>1.5723813202195367</v>
      </c>
      <c r="BK16" s="24">
        <f t="shared" si="0"/>
        <v>1.0827235028662032</v>
      </c>
      <c r="BL16" s="24">
        <f t="shared" si="0"/>
        <v>1.3645207775156645</v>
      </c>
      <c r="BM16" s="24">
        <f t="shared" si="0"/>
        <v>1.0535631573828805</v>
      </c>
      <c r="BN16" s="24">
        <f t="shared" si="0"/>
        <v>1</v>
      </c>
      <c r="BP16" s="437" t="s">
        <v>9</v>
      </c>
      <c r="BQ16" t="s">
        <v>159</v>
      </c>
      <c r="BR16" s="65">
        <v>1</v>
      </c>
      <c r="BS16" s="65">
        <v>0.25</v>
      </c>
      <c r="BT16" s="65">
        <v>4</v>
      </c>
      <c r="BU16" s="136">
        <v>56418.36825235001</v>
      </c>
    </row>
    <row r="17" spans="15:73" x14ac:dyDescent="0.3">
      <c r="O17" s="143" t="s">
        <v>54</v>
      </c>
      <c r="P17" s="143" t="s">
        <v>72</v>
      </c>
      <c r="AB17" s="152" t="s">
        <v>118</v>
      </c>
      <c r="AC17" s="152" t="s">
        <v>118</v>
      </c>
      <c r="AD17" s="152" t="s">
        <v>118</v>
      </c>
      <c r="AE17" s="143" t="s">
        <v>320</v>
      </c>
      <c r="AF17" s="143">
        <v>0.625</v>
      </c>
      <c r="AG17" s="143">
        <v>0.82499999999999996</v>
      </c>
      <c r="AH17" s="143">
        <v>0.24</v>
      </c>
      <c r="AP17" s="143" t="s">
        <v>58</v>
      </c>
      <c r="AQ17" s="143" t="s">
        <v>64</v>
      </c>
      <c r="AR17" s="143" t="s">
        <v>58</v>
      </c>
      <c r="BP17" s="437" t="s">
        <v>9</v>
      </c>
      <c r="BQ17" t="s">
        <v>160</v>
      </c>
      <c r="BR17" s="65">
        <v>5.9659420289855065</v>
      </c>
      <c r="BS17" s="65">
        <v>1.1832427536231882</v>
      </c>
      <c r="BT17" s="65">
        <v>5.04202709944117</v>
      </c>
      <c r="BU17" s="136">
        <v>56696.302598069888</v>
      </c>
    </row>
    <row r="18" spans="15:73" x14ac:dyDescent="0.3">
      <c r="O18" s="143" t="s">
        <v>55</v>
      </c>
      <c r="P18" s="143" t="s">
        <v>70</v>
      </c>
      <c r="AB18" s="152" t="s">
        <v>119</v>
      </c>
      <c r="AC18" s="152" t="s">
        <v>119</v>
      </c>
      <c r="AD18" s="152" t="s">
        <v>119</v>
      </c>
      <c r="AE18" s="143" t="s">
        <v>320</v>
      </c>
      <c r="AF18" s="143">
        <v>0.625</v>
      </c>
      <c r="AG18" s="143">
        <v>0.82499999999999996</v>
      </c>
      <c r="AH18" s="143">
        <v>0.47</v>
      </c>
      <c r="AP18" s="143" t="s">
        <v>58</v>
      </c>
      <c r="AQ18" s="143" t="s">
        <v>65</v>
      </c>
      <c r="AR18" s="143" t="s">
        <v>58</v>
      </c>
      <c r="BP18" s="437" t="s">
        <v>9</v>
      </c>
      <c r="BQ18" t="s">
        <v>162</v>
      </c>
      <c r="BR18" s="65">
        <v>29.35</v>
      </c>
      <c r="BS18" s="65">
        <v>2.8</v>
      </c>
      <c r="BT18" s="65">
        <v>10.482142857142858</v>
      </c>
      <c r="BU18" s="136">
        <v>66299.858413372873</v>
      </c>
    </row>
    <row r="19" spans="15:73" x14ac:dyDescent="0.3">
      <c r="O19" s="143" t="s">
        <v>57</v>
      </c>
      <c r="P19" s="143" t="s">
        <v>162</v>
      </c>
      <c r="AP19" s="143" t="s">
        <v>58</v>
      </c>
      <c r="AQ19" s="143" t="s">
        <v>66</v>
      </c>
      <c r="AR19" s="143" t="s">
        <v>58</v>
      </c>
      <c r="BP19" s="437" t="s">
        <v>9</v>
      </c>
      <c r="BQ19" t="s">
        <v>70</v>
      </c>
      <c r="BR19" s="65">
        <v>533.3425435716581</v>
      </c>
      <c r="BS19" s="65">
        <v>39.48685356135492</v>
      </c>
      <c r="BT19" s="65">
        <v>13.5068382377681</v>
      </c>
      <c r="BU19" s="136">
        <v>102605.13180628521</v>
      </c>
    </row>
    <row r="20" spans="15:73" x14ac:dyDescent="0.3">
      <c r="O20" s="143" t="s">
        <v>149</v>
      </c>
      <c r="P20" s="143" t="s">
        <v>162</v>
      </c>
      <c r="AP20" s="143" t="s">
        <v>58</v>
      </c>
      <c r="AQ20" s="143" t="s">
        <v>69</v>
      </c>
      <c r="AR20" s="143" t="s">
        <v>58</v>
      </c>
      <c r="BP20" s="437" t="s">
        <v>9</v>
      </c>
      <c r="BQ20" t="s">
        <v>71</v>
      </c>
      <c r="BR20" s="65">
        <v>9.86</v>
      </c>
      <c r="BS20" s="65">
        <v>0.73</v>
      </c>
      <c r="BT20" s="65">
        <v>13.506849315068493</v>
      </c>
      <c r="BU20" s="136">
        <v>119677.75171731475</v>
      </c>
    </row>
    <row r="21" spans="15:73" x14ac:dyDescent="0.3">
      <c r="O21" s="143" t="s">
        <v>150</v>
      </c>
      <c r="P21" s="143" t="s">
        <v>161</v>
      </c>
      <c r="AP21" s="143" t="s">
        <v>58</v>
      </c>
      <c r="AQ21" s="143" t="s">
        <v>159</v>
      </c>
      <c r="AR21" s="143" t="s">
        <v>58</v>
      </c>
      <c r="BP21" s="437" t="s">
        <v>9</v>
      </c>
      <c r="BQ21" t="s">
        <v>72</v>
      </c>
      <c r="BR21" s="65">
        <v>1015.4742005888415</v>
      </c>
      <c r="BS21" s="65">
        <v>111.71037993296817</v>
      </c>
      <c r="BT21" s="65">
        <v>9.0902403268002221</v>
      </c>
      <c r="BU21" s="136">
        <v>137377.66998146792</v>
      </c>
    </row>
    <row r="22" spans="15:73" x14ac:dyDescent="0.3">
      <c r="O22" s="143" t="s">
        <v>59</v>
      </c>
      <c r="P22" s="143" t="s">
        <v>73</v>
      </c>
      <c r="AP22" s="143" t="s">
        <v>51</v>
      </c>
      <c r="AQ22" s="143" t="s">
        <v>160</v>
      </c>
      <c r="AR22" s="143" t="s">
        <v>51</v>
      </c>
      <c r="BP22" s="438" t="s">
        <v>9</v>
      </c>
      <c r="BQ22" t="s">
        <v>73</v>
      </c>
      <c r="BR22" s="65">
        <v>36.794252273666672</v>
      </c>
      <c r="BS22" s="65">
        <v>3.7597809014859314</v>
      </c>
      <c r="BT22" s="65">
        <v>9.7862756468402026</v>
      </c>
      <c r="BU22" s="136">
        <v>152274.86930604273</v>
      </c>
    </row>
    <row r="23" spans="15:73" x14ac:dyDescent="0.3">
      <c r="O23" s="143" t="s">
        <v>60</v>
      </c>
      <c r="P23" s="143" t="s">
        <v>70</v>
      </c>
      <c r="AP23" s="143" t="s">
        <v>58</v>
      </c>
      <c r="AQ23" s="143" t="s">
        <v>161</v>
      </c>
      <c r="AR23" s="143" t="s">
        <v>58</v>
      </c>
      <c r="BP23" s="437" t="s">
        <v>11</v>
      </c>
      <c r="BQ23" t="s">
        <v>69</v>
      </c>
      <c r="BR23" s="65">
        <v>2.5</v>
      </c>
      <c r="BS23" s="65">
        <v>0.25</v>
      </c>
      <c r="BT23" s="65">
        <v>10</v>
      </c>
      <c r="BU23" s="136">
        <v>49969.301533575031</v>
      </c>
    </row>
    <row r="24" spans="15:73" x14ac:dyDescent="0.3">
      <c r="O24" s="143" t="s">
        <v>62</v>
      </c>
      <c r="P24" s="143" t="s">
        <v>161</v>
      </c>
      <c r="AP24" s="143" t="s">
        <v>51</v>
      </c>
      <c r="AQ24" s="143" t="s">
        <v>162</v>
      </c>
      <c r="AR24" s="143" t="s">
        <v>51</v>
      </c>
      <c r="BP24" s="437" t="s">
        <v>11</v>
      </c>
      <c r="BQ24" t="s">
        <v>160</v>
      </c>
      <c r="BR24" s="65">
        <v>25.583333333333332</v>
      </c>
      <c r="BS24" s="65">
        <v>1.4999999999999998</v>
      </c>
      <c r="BT24" s="65">
        <v>17.055555555555557</v>
      </c>
      <c r="BU24" s="136">
        <v>66222.782698377254</v>
      </c>
    </row>
    <row r="25" spans="15:73" x14ac:dyDescent="0.3">
      <c r="O25" s="143" t="s">
        <v>63</v>
      </c>
      <c r="P25" s="143" t="s">
        <v>159</v>
      </c>
      <c r="AP25" s="143" t="s">
        <v>50</v>
      </c>
      <c r="AQ25" s="143" t="s">
        <v>70</v>
      </c>
      <c r="AR25" s="143" t="s">
        <v>50</v>
      </c>
      <c r="BP25" s="437" t="s">
        <v>11</v>
      </c>
      <c r="BQ25" t="s">
        <v>162</v>
      </c>
      <c r="BR25" s="65">
        <v>31.083333333333336</v>
      </c>
      <c r="BS25" s="65">
        <v>1.9053030303030305</v>
      </c>
      <c r="BT25" s="65">
        <v>16.314115308151091</v>
      </c>
      <c r="BU25" s="136">
        <v>87746.739031306686</v>
      </c>
    </row>
    <row r="26" spans="15:73" x14ac:dyDescent="0.3">
      <c r="O26" s="143" t="s">
        <v>64</v>
      </c>
      <c r="P26" s="143" t="s">
        <v>69</v>
      </c>
      <c r="AP26" s="143" t="s">
        <v>48</v>
      </c>
      <c r="AQ26" s="143" t="s">
        <v>71</v>
      </c>
      <c r="AR26" s="143" t="s">
        <v>48</v>
      </c>
      <c r="BP26" s="437" t="s">
        <v>11</v>
      </c>
      <c r="BQ26" t="s">
        <v>70</v>
      </c>
      <c r="BR26" s="65">
        <v>350.24170042393376</v>
      </c>
      <c r="BS26" s="65">
        <v>26.717961997683002</v>
      </c>
      <c r="BT26" s="65">
        <v>13.108847914908591</v>
      </c>
      <c r="BU26" s="136">
        <v>102150.04205609534</v>
      </c>
    </row>
    <row r="27" spans="15:73" x14ac:dyDescent="0.3">
      <c r="O27" s="143" t="s">
        <v>65</v>
      </c>
      <c r="P27" s="143" t="s">
        <v>69</v>
      </c>
      <c r="AP27" s="143" t="s">
        <v>48</v>
      </c>
      <c r="AQ27" s="143" t="s">
        <v>179</v>
      </c>
      <c r="AR27" s="143" t="s">
        <v>48</v>
      </c>
      <c r="BP27" s="437" t="s">
        <v>11</v>
      </c>
      <c r="BQ27" t="s">
        <v>72</v>
      </c>
      <c r="BR27" s="65">
        <v>462.77840553043325</v>
      </c>
      <c r="BS27" s="65">
        <v>53.760304393838425</v>
      </c>
      <c r="BT27" s="65">
        <v>8.6081805292656259</v>
      </c>
      <c r="BU27" s="136">
        <v>136593.87534961483</v>
      </c>
    </row>
    <row r="28" spans="15:73" x14ac:dyDescent="0.3">
      <c r="O28" s="143" t="s">
        <v>66</v>
      </c>
      <c r="P28" s="143" t="s">
        <v>69</v>
      </c>
      <c r="AP28" s="143" t="s">
        <v>48</v>
      </c>
      <c r="AQ28" s="143" t="s">
        <v>72</v>
      </c>
      <c r="AR28" s="143" t="s">
        <v>48</v>
      </c>
      <c r="BP28" s="438" t="s">
        <v>11</v>
      </c>
      <c r="BQ28" t="s">
        <v>73</v>
      </c>
      <c r="BR28" s="65">
        <v>14.125</v>
      </c>
      <c r="BS28" s="65">
        <v>1.5916666666666668</v>
      </c>
      <c r="BT28" s="65">
        <v>8.8743455497382193</v>
      </c>
      <c r="BU28" s="136">
        <v>153122.70484181415</v>
      </c>
    </row>
    <row r="29" spans="15:73" x14ac:dyDescent="0.3">
      <c r="AP29" s="143" t="s">
        <v>48</v>
      </c>
      <c r="AQ29" s="143" t="s">
        <v>73</v>
      </c>
      <c r="AR29" s="143" t="s">
        <v>48</v>
      </c>
      <c r="BP29" s="437" t="s">
        <v>13</v>
      </c>
      <c r="BQ29" t="s">
        <v>70</v>
      </c>
      <c r="BR29" s="65">
        <v>105.13953745529832</v>
      </c>
      <c r="BS29" s="65">
        <v>5.8800420997694847</v>
      </c>
      <c r="BT29" s="65">
        <v>17.880745693882041</v>
      </c>
      <c r="BU29" s="136">
        <v>110646.6583005196</v>
      </c>
    </row>
    <row r="30" spans="15:73" x14ac:dyDescent="0.3">
      <c r="BP30" s="437" t="s">
        <v>13</v>
      </c>
      <c r="BQ30" t="s">
        <v>72</v>
      </c>
      <c r="BR30" s="65">
        <v>256.73908628036048</v>
      </c>
      <c r="BS30" s="65">
        <v>25.399286704271937</v>
      </c>
      <c r="BT30" s="65">
        <v>10.108121903958004</v>
      </c>
      <c r="BU30" s="136">
        <v>140782.72328600264</v>
      </c>
    </row>
    <row r="31" spans="15:73" x14ac:dyDescent="0.3">
      <c r="BP31" s="438" t="s">
        <v>13</v>
      </c>
      <c r="BQ31" t="s">
        <v>73</v>
      </c>
      <c r="BR31" s="65">
        <v>10.237500000000001</v>
      </c>
      <c r="BS31" s="65">
        <v>2.1687500000000002</v>
      </c>
      <c r="BT31" s="65">
        <v>4.7204610951008643</v>
      </c>
      <c r="BU31" s="136">
        <v>146119.67421725791</v>
      </c>
    </row>
    <row r="32" spans="15:73" x14ac:dyDescent="0.3">
      <c r="BP32" s="437" t="s">
        <v>15</v>
      </c>
      <c r="BQ32" t="s">
        <v>72</v>
      </c>
      <c r="BR32" s="65">
        <v>0.84753584299477125</v>
      </c>
      <c r="BS32" s="65">
        <v>0.13356870752004582</v>
      </c>
      <c r="BT32" s="65">
        <v>6.3453173930546134</v>
      </c>
      <c r="BU32" s="136">
        <v>145498.3052455468</v>
      </c>
    </row>
    <row r="33" spans="68:73" x14ac:dyDescent="0.3">
      <c r="BP33" s="438" t="s">
        <v>15</v>
      </c>
      <c r="BQ33" t="s">
        <v>73</v>
      </c>
      <c r="BR33" s="65">
        <v>421.644421831454</v>
      </c>
      <c r="BS33" s="65">
        <v>49.779717159229996</v>
      </c>
      <c r="BT33" s="65">
        <v>8.4702052541347967</v>
      </c>
      <c r="BU33" s="136">
        <v>152343.11612431696</v>
      </c>
    </row>
    <row r="34" spans="68:73" x14ac:dyDescent="0.3">
      <c r="BP34" s="437" t="s">
        <v>111</v>
      </c>
      <c r="BQ34" t="s">
        <v>69</v>
      </c>
      <c r="BR34" s="65">
        <v>6.3875000000000002</v>
      </c>
      <c r="BS34" s="65">
        <v>1.2032499999999999</v>
      </c>
      <c r="BT34" s="65">
        <v>5.3085393725327243</v>
      </c>
      <c r="BU34" s="136">
        <v>45755.896945238623</v>
      </c>
    </row>
    <row r="35" spans="68:73" x14ac:dyDescent="0.3">
      <c r="BP35" s="437" t="s">
        <v>111</v>
      </c>
      <c r="BQ35" t="s">
        <v>159</v>
      </c>
      <c r="BR35" s="65">
        <v>14.114583333333332</v>
      </c>
      <c r="BS35" s="65">
        <v>1.8229166666666665</v>
      </c>
      <c r="BT35" s="65">
        <v>7.7428571428571429</v>
      </c>
      <c r="BU35" s="136">
        <v>61263.775533247172</v>
      </c>
    </row>
    <row r="36" spans="68:73" x14ac:dyDescent="0.3">
      <c r="BP36" s="437" t="s">
        <v>111</v>
      </c>
      <c r="BQ36" t="s">
        <v>160</v>
      </c>
      <c r="BR36" s="65">
        <v>5</v>
      </c>
      <c r="BS36" s="65">
        <v>1</v>
      </c>
      <c r="BT36" s="65">
        <v>5</v>
      </c>
      <c r="BU36" s="136">
        <v>65555.958844865891</v>
      </c>
    </row>
    <row r="37" spans="68:73" x14ac:dyDescent="0.3">
      <c r="BP37" s="437" t="s">
        <v>111</v>
      </c>
      <c r="BQ37" t="s">
        <v>161</v>
      </c>
      <c r="BR37" s="65">
        <v>1.7621666666666667</v>
      </c>
      <c r="BS37" s="65">
        <v>1.3210833333333334</v>
      </c>
      <c r="BT37" s="65">
        <v>1.3338800227086356</v>
      </c>
      <c r="BU37" s="136">
        <v>71070.891545067818</v>
      </c>
    </row>
    <row r="38" spans="68:73" x14ac:dyDescent="0.3">
      <c r="BP38" s="437" t="s">
        <v>111</v>
      </c>
      <c r="BQ38" t="s">
        <v>162</v>
      </c>
      <c r="BR38" s="65">
        <v>25.8125</v>
      </c>
      <c r="BS38" s="65">
        <v>3.7862499999999999</v>
      </c>
      <c r="BT38" s="65">
        <v>6.8174314955430839</v>
      </c>
      <c r="BU38" s="136">
        <v>77220.944091726691</v>
      </c>
    </row>
    <row r="39" spans="68:73" x14ac:dyDescent="0.3">
      <c r="BP39" s="437" t="s">
        <v>111</v>
      </c>
      <c r="BQ39" t="s">
        <v>70</v>
      </c>
      <c r="BR39" s="65">
        <v>146.18150580000002</v>
      </c>
      <c r="BS39" s="65">
        <v>16.323425203053436</v>
      </c>
      <c r="BT39" s="65">
        <v>8.955320588760717</v>
      </c>
      <c r="BU39" s="136">
        <v>104035.93867081145</v>
      </c>
    </row>
    <row r="40" spans="68:73" x14ac:dyDescent="0.3">
      <c r="BP40" s="437" t="s">
        <v>111</v>
      </c>
      <c r="BQ40" t="s">
        <v>71</v>
      </c>
      <c r="BR40" s="65">
        <v>9.2999999999999989</v>
      </c>
      <c r="BS40" s="65">
        <v>0.3</v>
      </c>
      <c r="BT40" s="65">
        <v>30.999999999999996</v>
      </c>
      <c r="BU40" s="136">
        <v>158037.99739678146</v>
      </c>
    </row>
    <row r="41" spans="68:73" x14ac:dyDescent="0.3">
      <c r="BP41" s="437" t="s">
        <v>111</v>
      </c>
      <c r="BQ41" t="s">
        <v>72</v>
      </c>
      <c r="BR41" s="65">
        <v>82.517478068702289</v>
      </c>
      <c r="BS41" s="65">
        <v>13.207697534351144</v>
      </c>
      <c r="BT41" s="65">
        <v>6.2476807826714165</v>
      </c>
      <c r="BU41" s="136">
        <v>139339.30290231569</v>
      </c>
    </row>
    <row r="42" spans="68:73" x14ac:dyDescent="0.3">
      <c r="BP42" s="438" t="s">
        <v>111</v>
      </c>
      <c r="BQ42" t="s">
        <v>73</v>
      </c>
      <c r="BR42" s="65">
        <v>13.542231552162848</v>
      </c>
      <c r="BS42" s="65">
        <v>1.5835165394402035</v>
      </c>
      <c r="BT42" s="65">
        <v>8.5519988044774244</v>
      </c>
      <c r="BU42" s="136">
        <v>151866.03469560825</v>
      </c>
    </row>
    <row r="43" spans="68:73" x14ac:dyDescent="0.3">
      <c r="BP43" s="437" t="s">
        <v>340</v>
      </c>
      <c r="BQ43" t="s">
        <v>69</v>
      </c>
      <c r="BR43" s="65">
        <v>58.426614417496722</v>
      </c>
      <c r="BS43" s="65">
        <v>12.400283836649313</v>
      </c>
      <c r="BT43" s="65">
        <v>4.7117158919230198</v>
      </c>
      <c r="BU43" s="136">
        <v>46653.569988681469</v>
      </c>
    </row>
    <row r="44" spans="68:73" x14ac:dyDescent="0.3">
      <c r="BP44" s="437" t="s">
        <v>340</v>
      </c>
      <c r="BQ44" t="s">
        <v>159</v>
      </c>
      <c r="BR44" s="65">
        <v>62.445826634881833</v>
      </c>
      <c r="BS44" s="65">
        <v>10.755511551763281</v>
      </c>
      <c r="BT44" s="65">
        <v>5.8059373870175737</v>
      </c>
      <c r="BU44" s="136">
        <v>58795.207191779024</v>
      </c>
    </row>
    <row r="45" spans="68:73" x14ac:dyDescent="0.3">
      <c r="BP45" s="437" t="s">
        <v>340</v>
      </c>
      <c r="BQ45" t="s">
        <v>160</v>
      </c>
      <c r="BR45" s="65">
        <v>85.607916666666654</v>
      </c>
      <c r="BS45" s="65">
        <v>6.9623214285714248</v>
      </c>
      <c r="BT45" s="65">
        <v>12.295886874075599</v>
      </c>
      <c r="BU45" s="136">
        <v>70669.748031249794</v>
      </c>
    </row>
    <row r="46" spans="68:73" x14ac:dyDescent="0.3">
      <c r="BP46" s="437" t="s">
        <v>340</v>
      </c>
      <c r="BQ46" t="s">
        <v>161</v>
      </c>
      <c r="BR46" s="65">
        <v>62.488452380952381</v>
      </c>
      <c r="BS46" s="65">
        <v>9.5352777777777753</v>
      </c>
      <c r="BT46" s="65">
        <v>6.5533961188402312</v>
      </c>
      <c r="BU46" s="136">
        <v>77034.792599800101</v>
      </c>
    </row>
    <row r="47" spans="68:73" x14ac:dyDescent="0.3">
      <c r="BP47" s="437" t="s">
        <v>340</v>
      </c>
      <c r="BQ47" t="s">
        <v>162</v>
      </c>
      <c r="BR47" s="65">
        <v>170.96600121887772</v>
      </c>
      <c r="BS47" s="65">
        <v>32.026815943174576</v>
      </c>
      <c r="BT47" s="65">
        <v>5.3382141241334766</v>
      </c>
      <c r="BU47" s="136">
        <v>76773.848147779427</v>
      </c>
    </row>
    <row r="48" spans="68:73" x14ac:dyDescent="0.3">
      <c r="BP48" s="437" t="s">
        <v>340</v>
      </c>
      <c r="BQ48" t="s">
        <v>70</v>
      </c>
      <c r="BR48" s="65">
        <v>1685.351559001839</v>
      </c>
      <c r="BS48" s="65">
        <v>204.84426207854307</v>
      </c>
      <c r="BT48" s="65">
        <v>8.2274775085260998</v>
      </c>
      <c r="BU48" s="136">
        <v>102761.37225398436</v>
      </c>
    </row>
    <row r="49" spans="68:73" x14ac:dyDescent="0.3">
      <c r="BP49" s="437" t="s">
        <v>340</v>
      </c>
      <c r="BQ49" t="s">
        <v>71</v>
      </c>
      <c r="BR49" s="65">
        <v>46.080370065678252</v>
      </c>
      <c r="BS49" s="65">
        <v>2.836345022535717</v>
      </c>
      <c r="BT49" s="65">
        <v>16.246390936065318</v>
      </c>
      <c r="BU49" s="136">
        <v>137883.27006528617</v>
      </c>
    </row>
    <row r="50" spans="68:73" x14ac:dyDescent="0.3">
      <c r="BP50" s="437" t="s">
        <v>340</v>
      </c>
      <c r="BQ50" t="s">
        <v>72</v>
      </c>
      <c r="BR50" s="65">
        <v>725.54204876129108</v>
      </c>
      <c r="BS50" s="65">
        <v>94.852623185501386</v>
      </c>
      <c r="BT50" s="65">
        <v>7.6491511188084162</v>
      </c>
      <c r="BU50" s="136">
        <v>148273.08846628963</v>
      </c>
    </row>
    <row r="51" spans="68:73" x14ac:dyDescent="0.3">
      <c r="BP51" s="438" t="s">
        <v>340</v>
      </c>
      <c r="BQ51" t="s">
        <v>73</v>
      </c>
      <c r="BR51" s="65">
        <v>80.370323151429801</v>
      </c>
      <c r="BS51" s="65">
        <v>6.6650594557282439</v>
      </c>
      <c r="BT51" s="65">
        <v>12.058455544962323</v>
      </c>
      <c r="BU51" s="136">
        <v>163597.37147201959</v>
      </c>
    </row>
    <row r="52" spans="68:73" x14ac:dyDescent="0.3">
      <c r="BP52" s="437" t="s">
        <v>229</v>
      </c>
      <c r="BQ52" t="s">
        <v>69</v>
      </c>
      <c r="BR52" s="65">
        <v>7.25</v>
      </c>
      <c r="BS52" s="65">
        <v>2.7563299614643544</v>
      </c>
      <c r="BT52" s="65">
        <v>2.6303091797283571</v>
      </c>
      <c r="BU52" s="136">
        <v>54068.10544062328</v>
      </c>
    </row>
    <row r="53" spans="68:73" x14ac:dyDescent="0.3">
      <c r="BP53" s="437" t="s">
        <v>229</v>
      </c>
      <c r="BQ53" t="s">
        <v>159</v>
      </c>
      <c r="BR53" s="65">
        <v>32.594041425818887</v>
      </c>
      <c r="BS53" s="65">
        <v>6.2949026974951821</v>
      </c>
      <c r="BT53" s="65">
        <v>5.1778467423791081</v>
      </c>
      <c r="BU53" s="136">
        <v>62387.729243474249</v>
      </c>
    </row>
    <row r="54" spans="68:73" x14ac:dyDescent="0.3">
      <c r="BP54" s="437" t="s">
        <v>229</v>
      </c>
      <c r="BQ54" t="s">
        <v>160</v>
      </c>
      <c r="BR54" s="65">
        <v>23.099999999999998</v>
      </c>
      <c r="BS54" s="65">
        <v>3.1399999999999997</v>
      </c>
      <c r="BT54" s="65">
        <v>7.3566878980891719</v>
      </c>
      <c r="BU54" s="136">
        <v>67555.953084586639</v>
      </c>
    </row>
    <row r="55" spans="68:73" x14ac:dyDescent="0.3">
      <c r="BP55" s="437" t="s">
        <v>229</v>
      </c>
      <c r="BQ55" t="s">
        <v>161</v>
      </c>
      <c r="BR55" s="65">
        <v>2.6733333333333333</v>
      </c>
      <c r="BS55" s="65">
        <v>1.3366666666666667</v>
      </c>
      <c r="BT55" s="65">
        <v>2</v>
      </c>
      <c r="BU55" s="136">
        <v>65956.991270243234</v>
      </c>
    </row>
    <row r="56" spans="68:73" x14ac:dyDescent="0.3">
      <c r="BP56" s="437" t="s">
        <v>229</v>
      </c>
      <c r="BQ56" t="s">
        <v>162</v>
      </c>
      <c r="BR56" s="65">
        <v>49.299404761904761</v>
      </c>
      <c r="BS56" s="65">
        <v>7.0648809523809533</v>
      </c>
      <c r="BT56" s="65">
        <v>6.9780941949616642</v>
      </c>
      <c r="BU56" s="136">
        <v>80421.031677373656</v>
      </c>
    </row>
    <row r="57" spans="68:73" x14ac:dyDescent="0.3">
      <c r="BP57" s="437" t="s">
        <v>229</v>
      </c>
      <c r="BQ57" t="s">
        <v>70</v>
      </c>
      <c r="BR57" s="65">
        <v>519.11040668409964</v>
      </c>
      <c r="BS57" s="65">
        <v>59.233924825750826</v>
      </c>
      <c r="BT57" s="65">
        <v>8.7637347721119809</v>
      </c>
      <c r="BU57" s="136">
        <v>106817.22676093614</v>
      </c>
    </row>
    <row r="58" spans="68:73" x14ac:dyDescent="0.3">
      <c r="BP58" s="437" t="s">
        <v>229</v>
      </c>
      <c r="BQ58" t="s">
        <v>71</v>
      </c>
      <c r="BR58" s="65">
        <v>28.399914824326316</v>
      </c>
      <c r="BS58" s="65">
        <v>1.5218521889845296</v>
      </c>
      <c r="BT58" s="65">
        <v>18.661414708925466</v>
      </c>
      <c r="BU58" s="136">
        <v>135610.6772017972</v>
      </c>
    </row>
    <row r="59" spans="68:73" x14ac:dyDescent="0.3">
      <c r="BP59" s="438" t="s">
        <v>229</v>
      </c>
      <c r="BQ59" t="s">
        <v>72</v>
      </c>
      <c r="BR59" s="65">
        <v>125.42357780466152</v>
      </c>
      <c r="BS59" s="65">
        <v>25.117790197521725</v>
      </c>
      <c r="BT59" s="65">
        <v>4.9934160934681495</v>
      </c>
      <c r="BU59" s="136">
        <v>143450.50905036664</v>
      </c>
    </row>
    <row r="60" spans="68:73" x14ac:dyDescent="0.3">
      <c r="BP60" s="437" t="s">
        <v>110</v>
      </c>
      <c r="BQ60" t="s">
        <v>69</v>
      </c>
      <c r="BR60" s="65">
        <v>6.7656450339711594</v>
      </c>
      <c r="BS60" s="65">
        <v>1.2134978856337648</v>
      </c>
      <c r="BT60" s="65">
        <v>5.5753249462298937</v>
      </c>
      <c r="BU60" s="136">
        <v>50559.622534262147</v>
      </c>
    </row>
    <row r="61" spans="68:73" x14ac:dyDescent="0.3">
      <c r="BP61" s="437" t="s">
        <v>110</v>
      </c>
      <c r="BQ61" t="s">
        <v>159</v>
      </c>
      <c r="BR61" s="65">
        <v>7.2362318840579709</v>
      </c>
      <c r="BS61" s="65">
        <v>0.60072463768115936</v>
      </c>
      <c r="BT61" s="65">
        <v>12.045838359469242</v>
      </c>
      <c r="BU61" s="136">
        <v>72540.545832121425</v>
      </c>
    </row>
    <row r="62" spans="68:73" x14ac:dyDescent="0.3">
      <c r="BP62" s="437" t="s">
        <v>110</v>
      </c>
      <c r="BQ62" t="s">
        <v>160</v>
      </c>
      <c r="BR62" s="65">
        <v>9.7395833333333321</v>
      </c>
      <c r="BS62" s="65">
        <v>0.88541666666666663</v>
      </c>
      <c r="BT62" s="65">
        <v>11</v>
      </c>
      <c r="BU62" s="136">
        <v>74299.965892375782</v>
      </c>
    </row>
    <row r="63" spans="68:73" x14ac:dyDescent="0.3">
      <c r="BP63" s="437" t="s">
        <v>110</v>
      </c>
      <c r="BQ63" t="s">
        <v>161</v>
      </c>
      <c r="BR63" s="65">
        <v>19.362318840579711</v>
      </c>
      <c r="BS63" s="65">
        <v>2.4184782608695654</v>
      </c>
      <c r="BT63" s="65">
        <v>8.0059925093632955</v>
      </c>
      <c r="BU63" s="136">
        <v>72813.675563188212</v>
      </c>
    </row>
    <row r="64" spans="68:73" x14ac:dyDescent="0.3">
      <c r="BP64" s="437" t="s">
        <v>110</v>
      </c>
      <c r="BQ64" t="s">
        <v>162</v>
      </c>
      <c r="BR64" s="65">
        <v>45.513116292151871</v>
      </c>
      <c r="BS64" s="65">
        <v>7.6591177829948691</v>
      </c>
      <c r="BT64" s="65">
        <v>5.942344481658477</v>
      </c>
      <c r="BU64" s="136">
        <v>77130.975639575583</v>
      </c>
    </row>
    <row r="65" spans="68:73" x14ac:dyDescent="0.3">
      <c r="BP65" s="437" t="s">
        <v>110</v>
      </c>
      <c r="BQ65" t="s">
        <v>70</v>
      </c>
      <c r="BR65" s="65">
        <v>511.22152724721883</v>
      </c>
      <c r="BS65" s="65">
        <v>76.701636011688919</v>
      </c>
      <c r="BT65" s="65">
        <v>6.6650667942638329</v>
      </c>
      <c r="BU65" s="136">
        <v>98691.640547589923</v>
      </c>
    </row>
    <row r="66" spans="68:73" x14ac:dyDescent="0.3">
      <c r="BP66" s="437" t="s">
        <v>110</v>
      </c>
      <c r="BQ66" t="s">
        <v>71</v>
      </c>
      <c r="BR66" s="65">
        <v>9</v>
      </c>
      <c r="BS66" s="65">
        <v>0.3</v>
      </c>
      <c r="BT66" s="65">
        <v>30</v>
      </c>
      <c r="BU66" s="136">
        <v>158037.99739678146</v>
      </c>
    </row>
    <row r="67" spans="68:73" x14ac:dyDescent="0.3">
      <c r="BP67" s="437" t="s">
        <v>110</v>
      </c>
      <c r="BQ67" t="s">
        <v>72</v>
      </c>
      <c r="BR67" s="65">
        <v>181.85879499392971</v>
      </c>
      <c r="BS67" s="65">
        <v>42.722512288411728</v>
      </c>
      <c r="BT67" s="65">
        <v>4.2567439331805872</v>
      </c>
      <c r="BU67" s="136">
        <v>141077.16412851689</v>
      </c>
    </row>
    <row r="68" spans="68:73" x14ac:dyDescent="0.3">
      <c r="BP68" s="438" t="s">
        <v>110</v>
      </c>
      <c r="BQ68" t="s">
        <v>73</v>
      </c>
      <c r="BR68" s="65">
        <v>46.432413341593346</v>
      </c>
      <c r="BS68" s="65">
        <v>3.8203387939504596</v>
      </c>
      <c r="BT68" s="65">
        <v>12.154004093856672</v>
      </c>
      <c r="BU68" s="136">
        <v>167502.22808975738</v>
      </c>
    </row>
    <row r="69" spans="68:73" x14ac:dyDescent="0.3">
      <c r="BP69"/>
      <c r="BQ69"/>
      <c r="BR69"/>
      <c r="BS69"/>
      <c r="BT69"/>
      <c r="BU69"/>
    </row>
    <row r="70" spans="68:73" x14ac:dyDescent="0.3">
      <c r="BP70"/>
      <c r="BQ70"/>
      <c r="BR70"/>
      <c r="BS70"/>
      <c r="BT70"/>
      <c r="BU70"/>
    </row>
    <row r="71" spans="68:73" x14ac:dyDescent="0.3">
      <c r="BP71"/>
      <c r="BQ71"/>
      <c r="BR71"/>
      <c r="BS71"/>
      <c r="BT71"/>
      <c r="BU71"/>
    </row>
    <row r="72" spans="68:73" x14ac:dyDescent="0.3">
      <c r="BP72"/>
      <c r="BQ72"/>
      <c r="BR72"/>
      <c r="BS72"/>
      <c r="BT72"/>
      <c r="BU72"/>
    </row>
    <row r="73" spans="68:73" x14ac:dyDescent="0.3">
      <c r="BP73"/>
      <c r="BQ73"/>
      <c r="BR73"/>
      <c r="BS73"/>
      <c r="BT73"/>
      <c r="BU73"/>
    </row>
    <row r="74" spans="68:73" x14ac:dyDescent="0.3">
      <c r="BP74"/>
      <c r="BQ74"/>
      <c r="BR74"/>
      <c r="BS74"/>
      <c r="BT74"/>
      <c r="BU74"/>
    </row>
    <row r="75" spans="68:73" x14ac:dyDescent="0.3">
      <c r="BP75"/>
      <c r="BQ75"/>
      <c r="BR75"/>
      <c r="BS75"/>
      <c r="BT75"/>
      <c r="BU75"/>
    </row>
    <row r="76" spans="68:73" x14ac:dyDescent="0.3">
      <c r="BP76"/>
      <c r="BQ76"/>
      <c r="BR76"/>
      <c r="BS76"/>
      <c r="BT76"/>
      <c r="BU76"/>
    </row>
    <row r="77" spans="68:73" x14ac:dyDescent="0.3">
      <c r="BP77"/>
      <c r="BQ77"/>
      <c r="BR77"/>
      <c r="BS77"/>
      <c r="BT77"/>
      <c r="BU77"/>
    </row>
    <row r="78" spans="68:73" x14ac:dyDescent="0.3">
      <c r="BP78"/>
      <c r="BQ78"/>
      <c r="BR78"/>
      <c r="BS78"/>
      <c r="BT78"/>
      <c r="BU78"/>
    </row>
    <row r="79" spans="68:73" x14ac:dyDescent="0.3">
      <c r="BP79"/>
      <c r="BQ79"/>
      <c r="BR79"/>
      <c r="BS79"/>
      <c r="BT79"/>
      <c r="BU79"/>
    </row>
    <row r="80" spans="68:73" x14ac:dyDescent="0.3">
      <c r="BP80"/>
      <c r="BQ80"/>
      <c r="BR80"/>
      <c r="BS80"/>
      <c r="BT80"/>
      <c r="BU80"/>
    </row>
    <row r="81" spans="68:73" x14ac:dyDescent="0.3">
      <c r="BP81"/>
      <c r="BQ81"/>
      <c r="BR81"/>
      <c r="BS81"/>
      <c r="BT81"/>
      <c r="BU81"/>
    </row>
    <row r="82" spans="68:73" x14ac:dyDescent="0.3">
      <c r="BP82"/>
      <c r="BQ82"/>
      <c r="BR82"/>
      <c r="BS82"/>
      <c r="BT82"/>
      <c r="BU82"/>
    </row>
    <row r="83" spans="68:73" x14ac:dyDescent="0.3">
      <c r="BP83"/>
      <c r="BQ83"/>
      <c r="BR83"/>
      <c r="BS83"/>
      <c r="BT83"/>
      <c r="BU83"/>
    </row>
    <row r="84" spans="68:73" x14ac:dyDescent="0.3">
      <c r="BP84"/>
      <c r="BQ84"/>
      <c r="BR84"/>
      <c r="BS84"/>
      <c r="BT84"/>
      <c r="BU84"/>
    </row>
    <row r="85" spans="68:73" x14ac:dyDescent="0.3">
      <c r="BP85"/>
      <c r="BQ85"/>
      <c r="BR85"/>
      <c r="BS85"/>
      <c r="BT85"/>
      <c r="BU85"/>
    </row>
    <row r="86" spans="68:73" x14ac:dyDescent="0.3">
      <c r="BP86"/>
      <c r="BQ86"/>
      <c r="BR86"/>
      <c r="BS86"/>
      <c r="BT86"/>
      <c r="BU86"/>
    </row>
    <row r="87" spans="68:73" x14ac:dyDescent="0.3">
      <c r="BP87"/>
      <c r="BQ87"/>
      <c r="BR87"/>
      <c r="BS87"/>
      <c r="BT87"/>
      <c r="BU87"/>
    </row>
    <row r="88" spans="68:73" x14ac:dyDescent="0.3">
      <c r="BP88"/>
      <c r="BQ88"/>
      <c r="BR88"/>
      <c r="BS88"/>
      <c r="BT88"/>
      <c r="BU88"/>
    </row>
    <row r="89" spans="68:73" x14ac:dyDescent="0.3">
      <c r="BP89"/>
      <c r="BQ89"/>
      <c r="BR89"/>
      <c r="BS89"/>
      <c r="BT89"/>
      <c r="BU89"/>
    </row>
    <row r="90" spans="68:73" x14ac:dyDescent="0.3">
      <c r="BP90"/>
      <c r="BQ90"/>
      <c r="BR90"/>
      <c r="BS90"/>
      <c r="BT90"/>
      <c r="BU90"/>
    </row>
    <row r="91" spans="68:73" x14ac:dyDescent="0.3">
      <c r="BP91"/>
      <c r="BQ91"/>
      <c r="BR91"/>
      <c r="BS91"/>
      <c r="BT91"/>
      <c r="BU91"/>
    </row>
    <row r="92" spans="68:73" x14ac:dyDescent="0.3">
      <c r="BP92"/>
      <c r="BQ92"/>
      <c r="BR92"/>
      <c r="BS92"/>
      <c r="BT92"/>
      <c r="BU92"/>
    </row>
    <row r="93" spans="68:73" x14ac:dyDescent="0.3">
      <c r="BP93"/>
      <c r="BQ93"/>
      <c r="BR93"/>
      <c r="BS93"/>
      <c r="BT93"/>
      <c r="BU93"/>
    </row>
    <row r="94" spans="68:73" x14ac:dyDescent="0.3">
      <c r="BP94"/>
      <c r="BQ94"/>
      <c r="BR94"/>
      <c r="BS94"/>
      <c r="BT94"/>
      <c r="BU94"/>
    </row>
    <row r="95" spans="68:73" x14ac:dyDescent="0.3">
      <c r="BP95"/>
      <c r="BQ95"/>
      <c r="BR95"/>
      <c r="BS95"/>
      <c r="BT95"/>
      <c r="BU95"/>
    </row>
    <row r="96" spans="68:73" x14ac:dyDescent="0.3">
      <c r="BP96"/>
      <c r="BQ96"/>
      <c r="BR96"/>
      <c r="BS96"/>
      <c r="BT96"/>
      <c r="BU96"/>
    </row>
    <row r="97" spans="68:73" x14ac:dyDescent="0.3">
      <c r="BP97"/>
      <c r="BQ97"/>
      <c r="BR97"/>
      <c r="BS97"/>
      <c r="BT97"/>
      <c r="BU97"/>
    </row>
    <row r="98" spans="68:73" x14ac:dyDescent="0.3">
      <c r="BP98"/>
      <c r="BQ98"/>
      <c r="BR98"/>
      <c r="BS98"/>
      <c r="BT98"/>
      <c r="BU98"/>
    </row>
    <row r="99" spans="68:73" x14ac:dyDescent="0.3">
      <c r="BP99"/>
      <c r="BQ99"/>
      <c r="BR99"/>
      <c r="BS99"/>
      <c r="BT99"/>
      <c r="BU99"/>
    </row>
    <row r="100" spans="68:73" x14ac:dyDescent="0.3">
      <c r="BP100"/>
      <c r="BQ100"/>
      <c r="BR100"/>
      <c r="BS100"/>
      <c r="BT100"/>
      <c r="BU100"/>
    </row>
    <row r="101" spans="68:73" x14ac:dyDescent="0.3">
      <c r="BP101"/>
      <c r="BQ101"/>
      <c r="BR101"/>
      <c r="BS101"/>
      <c r="BT101"/>
      <c r="BU101"/>
    </row>
    <row r="102" spans="68:73" x14ac:dyDescent="0.3">
      <c r="BP102"/>
      <c r="BQ102"/>
      <c r="BR102"/>
      <c r="BS102"/>
      <c r="BT102"/>
      <c r="BU102"/>
    </row>
    <row r="103" spans="68:73" x14ac:dyDescent="0.3">
      <c r="BP103"/>
      <c r="BQ103"/>
      <c r="BR103"/>
      <c r="BS103"/>
      <c r="BT103"/>
      <c r="BU103"/>
    </row>
    <row r="104" spans="68:73" x14ac:dyDescent="0.3">
      <c r="BP104"/>
      <c r="BQ104"/>
      <c r="BR104"/>
      <c r="BS104"/>
      <c r="BT104"/>
      <c r="BU104"/>
    </row>
  </sheetData>
  <mergeCells count="1">
    <mergeCell ref="BO1:CB1"/>
  </mergeCells>
  <pageMargins left="0.7" right="0.7" top="0.75" bottom="0.75" header="0.3" footer="0.3"/>
  <pageSetup paperSize="9" orientation="portrait" r:id="rId1"/>
  <legacy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G20"/>
  <sheetViews>
    <sheetView tabSelected="1" workbookViewId="0">
      <selection activeCell="F8" sqref="F8"/>
    </sheetView>
  </sheetViews>
  <sheetFormatPr defaultColWidth="11.44140625" defaultRowHeight="14.4" x14ac:dyDescent="0.3"/>
  <cols>
    <col min="1" max="1" width="30.33203125" customWidth="1"/>
    <col min="2" max="2" width="10.6640625" bestFit="1" customWidth="1"/>
    <col min="3" max="3" width="14.44140625" customWidth="1"/>
    <col min="4" max="4" width="10" bestFit="1" customWidth="1"/>
  </cols>
  <sheetData>
    <row r="1" spans="1:7" ht="21" x14ac:dyDescent="0.4">
      <c r="A1" s="153" t="str">
        <f>"F0 - Données générales pour l'année "&amp;Data!$B$4</f>
        <v>F0 - Données générales pour l'année 2025</v>
      </c>
      <c r="E1" s="317" t="s">
        <v>332</v>
      </c>
      <c r="F1" s="97"/>
      <c r="G1" s="97"/>
    </row>
    <row r="3" spans="1:7" ht="16.2" thickBot="1" x14ac:dyDescent="0.35">
      <c r="A3" s="141" t="s">
        <v>0</v>
      </c>
    </row>
    <row r="4" spans="1:7" x14ac:dyDescent="0.3">
      <c r="A4" s="156" t="s">
        <v>312</v>
      </c>
      <c r="B4" s="157"/>
    </row>
    <row r="5" spans="1:7" x14ac:dyDescent="0.3">
      <c r="A5" s="158" t="s">
        <v>1</v>
      </c>
      <c r="B5" s="159"/>
    </row>
    <row r="6" spans="1:7" x14ac:dyDescent="0.3">
      <c r="A6" s="160" t="s">
        <v>325</v>
      </c>
      <c r="B6" s="159"/>
    </row>
    <row r="7" spans="1:7" ht="15" thickBot="1" x14ac:dyDescent="0.35">
      <c r="A7" s="161" t="s">
        <v>326</v>
      </c>
      <c r="B7" s="162"/>
      <c r="C7" s="155"/>
    </row>
    <row r="8" spans="1:7" x14ac:dyDescent="0.3">
      <c r="B8" s="67" t="str">
        <f>IF(B7="8.3","Lors du recensement du placement familial, le 8.3 peut être combiné avec du 9.1","")</f>
        <v/>
      </c>
    </row>
    <row r="9" spans="1:7" ht="15.6" x14ac:dyDescent="0.3">
      <c r="A9" s="141" t="s">
        <v>2</v>
      </c>
      <c r="B9" s="1"/>
    </row>
    <row r="10" spans="1:7" s="155" customFormat="1" x14ac:dyDescent="0.3">
      <c r="A10" s="155" t="s">
        <v>327</v>
      </c>
      <c r="B10" s="155" t="s">
        <v>328</v>
      </c>
      <c r="C10" s="155" t="s">
        <v>329</v>
      </c>
      <c r="D10" s="155" t="s">
        <v>330</v>
      </c>
    </row>
    <row r="11" spans="1:7" x14ac:dyDescent="0.3">
      <c r="A11" s="163"/>
      <c r="B11" s="163"/>
      <c r="C11" s="163"/>
      <c r="D11" s="163"/>
    </row>
    <row r="12" spans="1:7" x14ac:dyDescent="0.3">
      <c r="A12" s="163"/>
      <c r="B12" s="163"/>
      <c r="C12" s="163"/>
      <c r="D12" s="163"/>
    </row>
    <row r="13" spans="1:7" x14ac:dyDescent="0.3">
      <c r="A13" s="163"/>
      <c r="B13" s="163"/>
      <c r="C13" s="163"/>
      <c r="D13" s="163"/>
    </row>
    <row r="14" spans="1:7" x14ac:dyDescent="0.3">
      <c r="A14" s="163"/>
      <c r="B14" s="163"/>
      <c r="C14" s="163"/>
      <c r="D14" s="163"/>
    </row>
    <row r="16" spans="1:7" ht="16.2" thickBot="1" x14ac:dyDescent="0.35">
      <c r="A16" s="141" t="s">
        <v>315</v>
      </c>
    </row>
    <row r="17" spans="1:2" ht="15" thickBot="1" x14ac:dyDescent="0.35">
      <c r="A17" s="164" t="s">
        <v>204</v>
      </c>
      <c r="B17" s="28">
        <v>7.0000000000000001E-3</v>
      </c>
    </row>
    <row r="18" spans="1:2" ht="15" thickBot="1" x14ac:dyDescent="0.35">
      <c r="A18" s="164" t="s">
        <v>203</v>
      </c>
      <c r="B18" s="28">
        <v>2.64E-2</v>
      </c>
    </row>
    <row r="19" spans="1:2" ht="15" thickBot="1" x14ac:dyDescent="0.35">
      <c r="A19" s="164" t="s">
        <v>166</v>
      </c>
      <c r="B19" s="475">
        <f>IF(OR(B17="",B18=""),0,SUM(B17:B18,Table1[Taux]))</f>
        <v>0.14530000000000001</v>
      </c>
    </row>
    <row r="20" spans="1:2" ht="15" thickBot="1" x14ac:dyDescent="0.35">
      <c r="A20" s="164" t="s">
        <v>316</v>
      </c>
      <c r="B20" s="475" cm="1">
        <f t="array" ref="B20">SUM(Table1[Taux])-SUM((Table1[Taux])*(Table1[Libellé]="Majoration pour prestation en espèce"))+$B$17</f>
        <v>0.1164</v>
      </c>
    </row>
  </sheetData>
  <sheetProtection algorithmName="SHA-512" hashValue="aP9YYl4zPOCrchAxv/LPOHOf0tjZBLzhoCAH9RqLk847tNLeQYxeGVw24vfdcyEmQu02FhbdDTEkqVqWecsoYA==" saltValue="AEnChU7NKVHNI1csnO81wA==" spinCount="100000" sheet="1" objects="1" scenarios="1"/>
  <conditionalFormatting sqref="B7">
    <cfRule type="expression" dxfId="90" priority="1">
      <formula>AND($B$6="Journalier",LEN($B$7)&lt;=3)</formula>
    </cfRule>
    <cfRule type="expression" dxfId="89" priority="2">
      <formula>AND($B$6="Horaire",LEN($B$7)&gt;3)</formula>
    </cfRule>
  </conditionalFormatting>
  <dataValidations count="1">
    <dataValidation type="list" allowBlank="1" showInputMessage="1" showErrorMessage="1" sqref="B7" xr:uid="{00000000-0002-0000-0100-000003000000}">
      <formula1>INDIRECT($B$6)</formula1>
    </dataValidation>
  </dataValidations>
  <printOptions horizontalCentered="1"/>
  <pageMargins left="0.31496062992125984" right="0.31496062992125984" top="0.35433070866141736" bottom="0.35433070866141736" header="0.31496062992125984" footer="0.31496062992125984"/>
  <pageSetup paperSize="8" orientation="landscape"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Data!$Z$4:$Z$5</xm:f>
          </x14:formula1>
          <xm:sqref>B6</xm:sqref>
        </x14:dataValidation>
        <x14:dataValidation type="list" allowBlank="1" showInputMessage="1" showErrorMessage="1" xr:uid="{A2B55408-B8A2-440C-AE57-C32E020F83AB}">
          <x14:formula1>
            <xm:f>Data!$M$4:$M$7</xm:f>
          </x14:formula1>
          <xm:sqref>B18</xm:sqref>
        </x14:dataValidation>
        <x14:dataValidation type="list" allowBlank="1" showInputMessage="1" showErrorMessage="1" xr:uid="{42D16738-2594-4CAC-AC40-9D36A8642855}">
          <x14:formula1>
            <xm:f>Data!$L$4:$L$8</xm:f>
          </x14:formula1>
          <xm:sqref>B17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10131-41FA-4FBA-9DAD-E4110AADD62E}">
  <sheetPr>
    <tabColor theme="3" tint="0.79998168889431442"/>
  </sheetPr>
  <dimension ref="A1:AME51"/>
  <sheetViews>
    <sheetView workbookViewId="0">
      <selection activeCell="B4" sqref="B4"/>
    </sheetView>
  </sheetViews>
  <sheetFormatPr defaultColWidth="12.33203125" defaultRowHeight="14.4" x14ac:dyDescent="0.3"/>
  <cols>
    <col min="1" max="1" width="30.33203125" style="5" customWidth="1"/>
    <col min="2" max="2" width="13.6640625" style="4" customWidth="1"/>
    <col min="3" max="3" width="12.6640625" style="4" customWidth="1"/>
    <col min="4" max="5" width="12.6640625" style="5" customWidth="1"/>
    <col min="6" max="6" width="9.88671875" style="170" customWidth="1"/>
    <col min="7" max="8" width="9.44140625" style="170" customWidth="1"/>
    <col min="9" max="10" width="9.88671875" style="170" customWidth="1"/>
    <col min="11" max="14" width="9.44140625" style="170" customWidth="1"/>
    <col min="15" max="16" width="9.88671875" style="170" customWidth="1"/>
    <col min="17" max="18" width="9.44140625" style="170" customWidth="1"/>
    <col min="19" max="19" width="9.88671875" style="170" customWidth="1"/>
    <col min="20" max="23" width="9.44140625" style="170" customWidth="1"/>
    <col min="24" max="24" width="9.88671875" style="170" customWidth="1"/>
    <col min="25" max="25" width="9.44140625" style="170" customWidth="1"/>
    <col min="26" max="27" width="9.88671875" style="170" customWidth="1"/>
    <col min="28" max="1019" width="9.44140625" style="5" customWidth="1"/>
    <col min="1020" max="16384" width="12.33203125" style="173"/>
  </cols>
  <sheetData>
    <row r="1" spans="1:12" s="168" customFormat="1" ht="36.75" customHeight="1" thickBot="1" x14ac:dyDescent="0.35">
      <c r="A1" s="165" t="str">
        <f>IF('F0 - Générales'!$B$6="Horaire","F1 - Infos compl journalier - NE PAS RENSEIGNER CET ONGLET CAR VOUS AVEZ SELECTIONNE HORAIRE","F1 - Infos compl journalier")</f>
        <v>F1 - Infos compl journalier</v>
      </c>
      <c r="B1" s="165"/>
      <c r="C1" s="165"/>
      <c r="D1"/>
      <c r="E1"/>
      <c r="F1"/>
      <c r="H1" s="166"/>
      <c r="I1" s="166"/>
      <c r="J1" s="166"/>
      <c r="K1" s="166"/>
      <c r="L1" s="167" t="str">
        <f>IF(AND('F0 - Générales'!$B$6&lt;&gt;"Journalier",$D$19&lt;&gt;0),"Erreur","")</f>
        <v/>
      </c>
    </row>
    <row r="2" spans="1:12" s="168" customFormat="1" ht="36" customHeight="1" thickBot="1" x14ac:dyDescent="0.35">
      <c r="A2" s="166"/>
      <c r="B2" s="166"/>
      <c r="C2" s="166"/>
      <c r="D2" s="512" t="s">
        <v>331</v>
      </c>
      <c r="E2" s="513"/>
      <c r="F2" s="166"/>
      <c r="G2" s="166"/>
    </row>
    <row r="3" spans="1:12" s="168" customFormat="1" ht="60" customHeight="1" thickBot="1" x14ac:dyDescent="0.35">
      <c r="A3" s="175" t="s">
        <v>234</v>
      </c>
      <c r="B3" s="174" t="s">
        <v>235</v>
      </c>
      <c r="C3" s="174" t="s">
        <v>236</v>
      </c>
      <c r="D3" s="469" t="s">
        <v>504</v>
      </c>
      <c r="E3" s="469" t="s">
        <v>505</v>
      </c>
      <c r="F3" s="166"/>
      <c r="G3" s="166"/>
    </row>
    <row r="4" spans="1:12" s="168" customFormat="1" ht="15" thickBot="1" x14ac:dyDescent="0.35">
      <c r="A4" s="176" t="s">
        <v>238</v>
      </c>
      <c r="B4" s="497"/>
      <c r="C4" s="413"/>
      <c r="D4" s="413"/>
      <c r="E4" s="421">
        <f>D4*$C4/Data!$B$5</f>
        <v>0</v>
      </c>
      <c r="F4" s="169"/>
      <c r="G4" s="169"/>
    </row>
    <row r="5" spans="1:12" s="168" customFormat="1" ht="15" thickBot="1" x14ac:dyDescent="0.35">
      <c r="A5" s="176" t="s">
        <v>239</v>
      </c>
      <c r="B5" s="497"/>
      <c r="C5" s="413"/>
      <c r="D5" s="413"/>
      <c r="E5" s="421">
        <f>D5*$C5/Data!$B$5</f>
        <v>0</v>
      </c>
      <c r="F5" s="169"/>
      <c r="G5" s="169"/>
    </row>
    <row r="6" spans="1:12" s="168" customFormat="1" ht="15" thickBot="1" x14ac:dyDescent="0.35">
      <c r="A6" s="176" t="s">
        <v>240</v>
      </c>
      <c r="B6" s="497"/>
      <c r="C6" s="413"/>
      <c r="D6" s="413"/>
      <c r="E6" s="421">
        <f>D6*$C6/Data!$B$5</f>
        <v>0</v>
      </c>
      <c r="F6" s="169"/>
      <c r="G6" s="169"/>
    </row>
    <row r="7" spans="1:12" s="168" customFormat="1" ht="15" thickBot="1" x14ac:dyDescent="0.35">
      <c r="A7" s="176" t="s">
        <v>241</v>
      </c>
      <c r="B7" s="497"/>
      <c r="C7" s="413"/>
      <c r="D7" s="413"/>
      <c r="E7" s="421">
        <f>D7*$C7/Data!$B$5</f>
        <v>0</v>
      </c>
      <c r="F7" s="169"/>
      <c r="G7" s="169"/>
    </row>
    <row r="8" spans="1:12" s="168" customFormat="1" ht="15" thickBot="1" x14ac:dyDescent="0.35">
      <c r="A8" s="176" t="s">
        <v>242</v>
      </c>
      <c r="B8" s="498"/>
      <c r="C8" s="414"/>
      <c r="D8" s="413"/>
      <c r="E8" s="421">
        <f>D8*$C8/Data!$B$5</f>
        <v>0</v>
      </c>
      <c r="F8" s="169"/>
      <c r="G8" s="169"/>
    </row>
    <row r="9" spans="1:12" s="168" customFormat="1" ht="15" thickBot="1" x14ac:dyDescent="0.35">
      <c r="A9" s="176" t="s">
        <v>243</v>
      </c>
      <c r="B9" s="499"/>
      <c r="C9" s="415"/>
      <c r="D9" s="413"/>
      <c r="E9" s="421">
        <f>D9*$C9/Data!$B$5</f>
        <v>0</v>
      </c>
      <c r="F9" s="169"/>
      <c r="G9" s="169"/>
    </row>
    <row r="10" spans="1:12" s="168" customFormat="1" ht="15" thickBot="1" x14ac:dyDescent="0.35">
      <c r="A10" s="176" t="s">
        <v>244</v>
      </c>
      <c r="B10" s="500"/>
      <c r="C10" s="416"/>
      <c r="D10" s="413"/>
      <c r="E10" s="421">
        <f>D10*$C10/Data!$B$5</f>
        <v>0</v>
      </c>
      <c r="F10" s="169"/>
      <c r="G10" s="169"/>
    </row>
    <row r="11" spans="1:12" s="168" customFormat="1" ht="15" thickBot="1" x14ac:dyDescent="0.35">
      <c r="A11" s="176" t="s">
        <v>245</v>
      </c>
      <c r="B11" s="501"/>
      <c r="C11" s="417"/>
      <c r="D11" s="413"/>
      <c r="E11" s="421">
        <f>D11*$C11/Data!$B$5</f>
        <v>0</v>
      </c>
      <c r="F11" s="169"/>
      <c r="G11" s="169"/>
    </row>
    <row r="12" spans="1:12" s="168" customFormat="1" ht="15" thickBot="1" x14ac:dyDescent="0.35">
      <c r="A12" s="176" t="s">
        <v>246</v>
      </c>
      <c r="B12" s="501"/>
      <c r="C12" s="417"/>
      <c r="D12" s="413"/>
      <c r="E12" s="421">
        <f>D12*$C12/Data!$B$5</f>
        <v>0</v>
      </c>
      <c r="F12" s="169"/>
      <c r="G12" s="169"/>
    </row>
    <row r="13" spans="1:12" s="168" customFormat="1" ht="15" thickBot="1" x14ac:dyDescent="0.35">
      <c r="A13" s="176" t="s">
        <v>247</v>
      </c>
      <c r="B13" s="501"/>
      <c r="C13" s="417"/>
      <c r="D13" s="413"/>
      <c r="E13" s="421">
        <f>D13*$C13/Data!$B$5</f>
        <v>0</v>
      </c>
      <c r="F13" s="169"/>
      <c r="G13" s="169"/>
    </row>
    <row r="14" spans="1:12" s="168" customFormat="1" ht="15" thickBot="1" x14ac:dyDescent="0.35">
      <c r="A14" s="176" t="s">
        <v>248</v>
      </c>
      <c r="B14" s="501"/>
      <c r="C14" s="417"/>
      <c r="D14" s="413"/>
      <c r="E14" s="421">
        <f>D14*$C14/Data!$B$5</f>
        <v>0</v>
      </c>
      <c r="F14" s="169"/>
      <c r="G14" s="169"/>
    </row>
    <row r="15" spans="1:12" s="168" customFormat="1" ht="15" thickBot="1" x14ac:dyDescent="0.35">
      <c r="A15" s="176" t="s">
        <v>249</v>
      </c>
      <c r="B15" s="501"/>
      <c r="C15" s="417"/>
      <c r="D15" s="413"/>
      <c r="E15" s="421">
        <f>D15*$C15/Data!$B$5</f>
        <v>0</v>
      </c>
      <c r="F15" s="169"/>
      <c r="G15" s="169"/>
    </row>
    <row r="16" spans="1:12" s="168" customFormat="1" ht="15" thickBot="1" x14ac:dyDescent="0.35">
      <c r="A16" s="176" t="s">
        <v>250</v>
      </c>
      <c r="B16" s="501"/>
      <c r="C16" s="417"/>
      <c r="D16" s="413"/>
      <c r="E16" s="421">
        <f>D16*$C16/Data!$B$5</f>
        <v>0</v>
      </c>
      <c r="F16" s="169"/>
      <c r="G16" s="169"/>
    </row>
    <row r="17" spans="1:1019" s="168" customFormat="1" ht="15" thickBot="1" x14ac:dyDescent="0.35">
      <c r="A17" s="176" t="s">
        <v>251</v>
      </c>
      <c r="B17" s="501"/>
      <c r="C17" s="417"/>
      <c r="D17" s="413"/>
      <c r="E17" s="421">
        <f>D17*$C17/Data!$B$5</f>
        <v>0</v>
      </c>
      <c r="F17" s="169"/>
      <c r="G17" s="169"/>
    </row>
    <row r="18" spans="1:1019" s="168" customFormat="1" ht="15" thickBot="1" x14ac:dyDescent="0.35">
      <c r="A18" s="176" t="s">
        <v>252</v>
      </c>
      <c r="B18" s="501"/>
      <c r="C18" s="417"/>
      <c r="D18" s="413"/>
      <c r="E18" s="421">
        <f>D18*$C18/Data!$B$5</f>
        <v>0</v>
      </c>
    </row>
    <row r="19" spans="1:1019" s="168" customFormat="1" ht="14.4" customHeight="1" thickBot="1" x14ac:dyDescent="0.35">
      <c r="A19" s="419" t="s">
        <v>67</v>
      </c>
      <c r="B19" s="420">
        <f>COUNTA(B4:B18)</f>
        <v>0</v>
      </c>
      <c r="C19" s="420">
        <f>SUM(C4:C18)</f>
        <v>0</v>
      </c>
      <c r="D19" s="420">
        <f>SUM(D4:D18)</f>
        <v>0</v>
      </c>
      <c r="E19" s="421">
        <f t="shared" ref="E19" si="0">SUM(E4:E18)</f>
        <v>0</v>
      </c>
    </row>
    <row r="20" spans="1:1019" s="170" customFormat="1" ht="13.8" x14ac:dyDescent="0.3">
      <c r="A20" s="166"/>
      <c r="B20" s="166"/>
      <c r="C20" s="166"/>
      <c r="D20" s="5"/>
      <c r="E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row>
    <row r="21" spans="1:1019" s="170" customFormat="1" ht="13.8" x14ac:dyDescent="0.3">
      <c r="A21" s="166"/>
      <c r="B21" s="166"/>
      <c r="C21" s="166"/>
      <c r="D21" s="5"/>
      <c r="E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row>
    <row r="22" spans="1:1019" s="170" customFormat="1" ht="13.8" x14ac:dyDescent="0.3">
      <c r="A22" s="166"/>
      <c r="B22" s="166"/>
      <c r="C22" s="166"/>
      <c r="D22" s="5"/>
      <c r="E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row>
    <row r="23" spans="1:1019" s="170" customFormat="1" ht="13.8" x14ac:dyDescent="0.3">
      <c r="A23" s="5"/>
      <c r="B23" s="5"/>
      <c r="C23" s="5"/>
      <c r="D23" s="171"/>
      <c r="E23" s="171"/>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c r="AJK23" s="5"/>
      <c r="AJL23" s="5"/>
      <c r="AJM23" s="5"/>
      <c r="AJN23" s="5"/>
      <c r="AJO23" s="5"/>
      <c r="AJP23" s="5"/>
      <c r="AJQ23" s="5"/>
      <c r="AJR23" s="5"/>
      <c r="AJS23" s="5"/>
      <c r="AJT23" s="5"/>
      <c r="AJU23" s="5"/>
      <c r="AJV23" s="5"/>
      <c r="AJW23" s="5"/>
      <c r="AJX23" s="5"/>
      <c r="AJY23" s="5"/>
      <c r="AJZ23" s="5"/>
      <c r="AKA23" s="5"/>
      <c r="AKB23" s="5"/>
      <c r="AKC23" s="5"/>
      <c r="AKD23" s="5"/>
      <c r="AKE23" s="5"/>
      <c r="AKF23" s="5"/>
      <c r="AKG23" s="5"/>
      <c r="AKH23" s="5"/>
      <c r="AKI23" s="5"/>
      <c r="AKJ23" s="5"/>
      <c r="AKK23" s="5"/>
      <c r="AKL23" s="5"/>
      <c r="AKM23" s="5"/>
      <c r="AKN23" s="5"/>
      <c r="AKO23" s="5"/>
      <c r="AKP23" s="5"/>
      <c r="AKQ23" s="5"/>
      <c r="AKR23" s="5"/>
      <c r="AKS23" s="5"/>
      <c r="AKT23" s="5"/>
      <c r="AKU23" s="5"/>
      <c r="AKV23" s="5"/>
      <c r="AKW23" s="5"/>
      <c r="AKX23" s="5"/>
      <c r="AKY23" s="5"/>
      <c r="AKZ23" s="5"/>
      <c r="ALA23" s="5"/>
      <c r="ALB23" s="5"/>
      <c r="ALC23" s="5"/>
      <c r="ALD23" s="5"/>
      <c r="ALE23" s="5"/>
      <c r="ALF23" s="5"/>
      <c r="ALG23" s="5"/>
      <c r="ALH23" s="5"/>
      <c r="ALI23" s="5"/>
      <c r="ALJ23" s="5"/>
      <c r="ALK23" s="5"/>
      <c r="ALL23" s="5"/>
      <c r="ALM23" s="5"/>
      <c r="ALN23" s="5"/>
      <c r="ALO23" s="5"/>
      <c r="ALP23" s="5"/>
      <c r="ALQ23" s="5"/>
      <c r="ALR23" s="5"/>
      <c r="ALS23" s="5"/>
      <c r="ALT23" s="5"/>
      <c r="ALU23" s="5"/>
      <c r="ALV23" s="5"/>
      <c r="ALW23" s="5"/>
      <c r="ALX23" s="5"/>
      <c r="ALY23" s="5"/>
      <c r="ALZ23" s="5"/>
      <c r="AMA23" s="5"/>
      <c r="AMB23" s="5"/>
      <c r="AMC23" s="5"/>
      <c r="AMD23" s="5"/>
      <c r="AME23" s="5"/>
    </row>
    <row r="24" spans="1:1019" s="170" customFormat="1" ht="30.75" customHeight="1" x14ac:dyDescent="0.2">
      <c r="A24" s="5"/>
      <c r="B24" s="5"/>
      <c r="C24" s="5"/>
      <c r="D24" s="5"/>
      <c r="E24" s="5"/>
      <c r="F24" s="511"/>
      <c r="G24" s="511"/>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c r="IW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c r="AJK24" s="5"/>
      <c r="AJL24" s="5"/>
      <c r="AJM24" s="5"/>
      <c r="AJN24" s="5"/>
      <c r="AJO24" s="5"/>
      <c r="AJP24" s="5"/>
      <c r="AJQ24" s="5"/>
      <c r="AJR24" s="5"/>
      <c r="AJS24" s="5"/>
      <c r="AJT24" s="5"/>
      <c r="AJU24" s="5"/>
      <c r="AJV24" s="5"/>
      <c r="AJW24" s="5"/>
      <c r="AJX24" s="5"/>
      <c r="AJY24" s="5"/>
      <c r="AJZ24" s="5"/>
      <c r="AKA24" s="5"/>
      <c r="AKB24" s="5"/>
      <c r="AKC24" s="5"/>
      <c r="AKD24" s="5"/>
      <c r="AKE24" s="5"/>
      <c r="AKF24" s="5"/>
      <c r="AKG24" s="5"/>
      <c r="AKH24" s="5"/>
      <c r="AKI24" s="5"/>
      <c r="AKJ24" s="5"/>
      <c r="AKK24" s="5"/>
      <c r="AKL24" s="5"/>
      <c r="AKM24" s="5"/>
      <c r="AKN24" s="5"/>
      <c r="AKO24" s="5"/>
      <c r="AKP24" s="5"/>
      <c r="AKQ24" s="5"/>
      <c r="AKR24" s="5"/>
      <c r="AKS24" s="5"/>
      <c r="AKT24" s="5"/>
      <c r="AKU24" s="5"/>
      <c r="AKV24" s="5"/>
      <c r="AKW24" s="5"/>
      <c r="AKX24" s="5"/>
      <c r="AKY24" s="5"/>
      <c r="AKZ24" s="5"/>
      <c r="ALA24" s="5"/>
      <c r="ALB24" s="5"/>
      <c r="ALC24" s="5"/>
      <c r="ALD24" s="5"/>
      <c r="ALE24" s="5"/>
      <c r="ALF24" s="5"/>
      <c r="ALG24" s="5"/>
      <c r="ALH24" s="5"/>
      <c r="ALI24" s="5"/>
      <c r="ALJ24" s="5"/>
      <c r="ALK24" s="5"/>
      <c r="ALL24" s="5"/>
      <c r="ALM24" s="5"/>
      <c r="ALN24" s="5"/>
      <c r="ALO24" s="5"/>
      <c r="ALP24" s="5"/>
      <c r="ALQ24" s="5"/>
      <c r="ALR24" s="5"/>
      <c r="ALS24" s="5"/>
      <c r="ALT24" s="5"/>
      <c r="ALU24" s="5"/>
      <c r="ALV24" s="5"/>
      <c r="ALW24" s="5"/>
      <c r="ALX24" s="5"/>
      <c r="ALY24" s="5"/>
      <c r="ALZ24" s="5"/>
      <c r="AMA24" s="5"/>
      <c r="AMB24" s="5"/>
      <c r="AMC24" s="5"/>
      <c r="AMD24" s="5"/>
      <c r="AME24" s="5"/>
    </row>
    <row r="25" spans="1:1019" s="170" customFormat="1" ht="13.8" x14ac:dyDescent="0.2">
      <c r="A25" s="5"/>
      <c r="B25" s="5"/>
      <c r="C25" s="5"/>
      <c r="D25" s="5"/>
      <c r="E25" s="5"/>
      <c r="F25" s="172"/>
      <c r="G25" s="172"/>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c r="IW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c r="ACA25" s="5"/>
      <c r="ACB25" s="5"/>
      <c r="ACC25" s="5"/>
      <c r="ACD25" s="5"/>
      <c r="ACE25" s="5"/>
      <c r="ACF25" s="5"/>
      <c r="ACG25" s="5"/>
      <c r="ACH25" s="5"/>
      <c r="ACI25" s="5"/>
      <c r="ACJ25" s="5"/>
      <c r="ACK25" s="5"/>
      <c r="ACL25" s="5"/>
      <c r="ACM25" s="5"/>
      <c r="ACN25" s="5"/>
      <c r="ACO25" s="5"/>
      <c r="ACP25" s="5"/>
      <c r="ACQ25" s="5"/>
      <c r="ACR25" s="5"/>
      <c r="ACS25" s="5"/>
      <c r="ACT25" s="5"/>
      <c r="ACU25" s="5"/>
      <c r="ACV25" s="5"/>
      <c r="ACW25" s="5"/>
      <c r="ACX25" s="5"/>
      <c r="ACY25" s="5"/>
      <c r="ACZ25" s="5"/>
      <c r="ADA25" s="5"/>
      <c r="ADB25" s="5"/>
      <c r="ADC25" s="5"/>
      <c r="ADD25" s="5"/>
      <c r="ADE25" s="5"/>
      <c r="ADF25" s="5"/>
      <c r="ADG25" s="5"/>
      <c r="ADH25" s="5"/>
      <c r="ADI25" s="5"/>
      <c r="ADJ25" s="5"/>
      <c r="ADK25" s="5"/>
      <c r="ADL25" s="5"/>
      <c r="ADM25" s="5"/>
      <c r="ADN25" s="5"/>
      <c r="ADO25" s="5"/>
      <c r="ADP25" s="5"/>
      <c r="ADQ25" s="5"/>
      <c r="ADR25" s="5"/>
      <c r="ADS25" s="5"/>
      <c r="ADT25" s="5"/>
      <c r="ADU25" s="5"/>
      <c r="ADV25" s="5"/>
      <c r="ADW25" s="5"/>
      <c r="ADX25" s="5"/>
      <c r="ADY25" s="5"/>
      <c r="ADZ25" s="5"/>
      <c r="AEA25" s="5"/>
      <c r="AEB25" s="5"/>
      <c r="AEC25" s="5"/>
      <c r="AED25" s="5"/>
      <c r="AEE25" s="5"/>
      <c r="AEF25" s="5"/>
      <c r="AEG25" s="5"/>
      <c r="AEH25" s="5"/>
      <c r="AEI25" s="5"/>
      <c r="AEJ25" s="5"/>
      <c r="AEK25" s="5"/>
      <c r="AEL25" s="5"/>
      <c r="AEM25" s="5"/>
      <c r="AEN25" s="5"/>
      <c r="AEO25" s="5"/>
      <c r="AEP25" s="5"/>
      <c r="AEQ25" s="5"/>
      <c r="AER25" s="5"/>
      <c r="AES25" s="5"/>
      <c r="AET25" s="5"/>
      <c r="AEU25" s="5"/>
      <c r="AEV25" s="5"/>
      <c r="AEW25" s="5"/>
      <c r="AEX25" s="5"/>
      <c r="AEY25" s="5"/>
      <c r="AEZ25" s="5"/>
      <c r="AFA25" s="5"/>
      <c r="AFB25" s="5"/>
      <c r="AFC25" s="5"/>
      <c r="AFD25" s="5"/>
      <c r="AFE25" s="5"/>
      <c r="AFF25" s="5"/>
      <c r="AFG25" s="5"/>
      <c r="AFH25" s="5"/>
      <c r="AFI25" s="5"/>
      <c r="AFJ25" s="5"/>
      <c r="AFK25" s="5"/>
      <c r="AFL25" s="5"/>
      <c r="AFM25" s="5"/>
      <c r="AFN25" s="5"/>
      <c r="AFO25" s="5"/>
      <c r="AFP25" s="5"/>
      <c r="AFQ25" s="5"/>
      <c r="AFR25" s="5"/>
      <c r="AFS25" s="5"/>
      <c r="AFT25" s="5"/>
      <c r="AFU25" s="5"/>
      <c r="AFV25" s="5"/>
      <c r="AFW25" s="5"/>
      <c r="AFX25" s="5"/>
      <c r="AFY25" s="5"/>
      <c r="AFZ25" s="5"/>
      <c r="AGA25" s="5"/>
      <c r="AGB25" s="5"/>
      <c r="AGC25" s="5"/>
      <c r="AGD25" s="5"/>
      <c r="AGE25" s="5"/>
      <c r="AGF25" s="5"/>
      <c r="AGG25" s="5"/>
      <c r="AGH25" s="5"/>
      <c r="AGI25" s="5"/>
      <c r="AGJ25" s="5"/>
      <c r="AGK25" s="5"/>
      <c r="AGL25" s="5"/>
      <c r="AGM25" s="5"/>
      <c r="AGN25" s="5"/>
      <c r="AGO25" s="5"/>
      <c r="AGP25" s="5"/>
      <c r="AGQ25" s="5"/>
      <c r="AGR25" s="5"/>
      <c r="AGS25" s="5"/>
      <c r="AGT25" s="5"/>
      <c r="AGU25" s="5"/>
      <c r="AGV25" s="5"/>
      <c r="AGW25" s="5"/>
      <c r="AGX25" s="5"/>
      <c r="AGY25" s="5"/>
      <c r="AGZ25" s="5"/>
      <c r="AHA25" s="5"/>
      <c r="AHB25" s="5"/>
      <c r="AHC25" s="5"/>
      <c r="AHD25" s="5"/>
      <c r="AHE25" s="5"/>
      <c r="AHF25" s="5"/>
      <c r="AHG25" s="5"/>
      <c r="AHH25" s="5"/>
      <c r="AHI25" s="5"/>
      <c r="AHJ25" s="5"/>
      <c r="AHK25" s="5"/>
      <c r="AHL25" s="5"/>
      <c r="AHM25" s="5"/>
      <c r="AHN25" s="5"/>
      <c r="AHO25" s="5"/>
      <c r="AHP25" s="5"/>
      <c r="AHQ25" s="5"/>
      <c r="AHR25" s="5"/>
      <c r="AHS25" s="5"/>
      <c r="AHT25" s="5"/>
      <c r="AHU25" s="5"/>
      <c r="AHV25" s="5"/>
      <c r="AHW25" s="5"/>
      <c r="AHX25" s="5"/>
      <c r="AHY25" s="5"/>
      <c r="AHZ25" s="5"/>
      <c r="AIA25" s="5"/>
      <c r="AIB25" s="5"/>
      <c r="AIC25" s="5"/>
      <c r="AID25" s="5"/>
      <c r="AIE25" s="5"/>
      <c r="AIF25" s="5"/>
      <c r="AIG25" s="5"/>
      <c r="AIH25" s="5"/>
      <c r="AII25" s="5"/>
      <c r="AIJ25" s="5"/>
      <c r="AIK25" s="5"/>
      <c r="AIL25" s="5"/>
      <c r="AIM25" s="5"/>
      <c r="AIN25" s="5"/>
      <c r="AIO25" s="5"/>
      <c r="AIP25" s="5"/>
      <c r="AIQ25" s="5"/>
      <c r="AIR25" s="5"/>
      <c r="AIS25" s="5"/>
      <c r="AIT25" s="5"/>
      <c r="AIU25" s="5"/>
      <c r="AIV25" s="5"/>
      <c r="AIW25" s="5"/>
      <c r="AIX25" s="5"/>
      <c r="AIY25" s="5"/>
      <c r="AIZ25" s="5"/>
      <c r="AJA25" s="5"/>
      <c r="AJB25" s="5"/>
      <c r="AJC25" s="5"/>
      <c r="AJD25" s="5"/>
      <c r="AJE25" s="5"/>
      <c r="AJF25" s="5"/>
      <c r="AJG25" s="5"/>
      <c r="AJH25" s="5"/>
      <c r="AJI25" s="5"/>
      <c r="AJJ25" s="5"/>
      <c r="AJK25" s="5"/>
      <c r="AJL25" s="5"/>
      <c r="AJM25" s="5"/>
      <c r="AJN25" s="5"/>
      <c r="AJO25" s="5"/>
      <c r="AJP25" s="5"/>
      <c r="AJQ25" s="5"/>
      <c r="AJR25" s="5"/>
      <c r="AJS25" s="5"/>
      <c r="AJT25" s="5"/>
      <c r="AJU25" s="5"/>
      <c r="AJV25" s="5"/>
      <c r="AJW25" s="5"/>
      <c r="AJX25" s="5"/>
      <c r="AJY25" s="5"/>
      <c r="AJZ25" s="5"/>
      <c r="AKA25" s="5"/>
      <c r="AKB25" s="5"/>
      <c r="AKC25" s="5"/>
      <c r="AKD25" s="5"/>
      <c r="AKE25" s="5"/>
      <c r="AKF25" s="5"/>
      <c r="AKG25" s="5"/>
      <c r="AKH25" s="5"/>
      <c r="AKI25" s="5"/>
      <c r="AKJ25" s="5"/>
      <c r="AKK25" s="5"/>
      <c r="AKL25" s="5"/>
      <c r="AKM25" s="5"/>
      <c r="AKN25" s="5"/>
      <c r="AKO25" s="5"/>
      <c r="AKP25" s="5"/>
      <c r="AKQ25" s="5"/>
      <c r="AKR25" s="5"/>
      <c r="AKS25" s="5"/>
      <c r="AKT25" s="5"/>
      <c r="AKU25" s="5"/>
      <c r="AKV25" s="5"/>
      <c r="AKW25" s="5"/>
      <c r="AKX25" s="5"/>
      <c r="AKY25" s="5"/>
      <c r="AKZ25" s="5"/>
      <c r="ALA25" s="5"/>
      <c r="ALB25" s="5"/>
      <c r="ALC25" s="5"/>
      <c r="ALD25" s="5"/>
      <c r="ALE25" s="5"/>
      <c r="ALF25" s="5"/>
      <c r="ALG25" s="5"/>
      <c r="ALH25" s="5"/>
      <c r="ALI25" s="5"/>
      <c r="ALJ25" s="5"/>
      <c r="ALK25" s="5"/>
      <c r="ALL25" s="5"/>
      <c r="ALM25" s="5"/>
      <c r="ALN25" s="5"/>
      <c r="ALO25" s="5"/>
      <c r="ALP25" s="5"/>
      <c r="ALQ25" s="5"/>
      <c r="ALR25" s="5"/>
      <c r="ALS25" s="5"/>
      <c r="ALT25" s="5"/>
      <c r="ALU25" s="5"/>
      <c r="ALV25" s="5"/>
      <c r="ALW25" s="5"/>
      <c r="ALX25" s="5"/>
      <c r="ALY25" s="5"/>
      <c r="ALZ25" s="5"/>
      <c r="AMA25" s="5"/>
      <c r="AMB25" s="5"/>
      <c r="AMC25" s="5"/>
      <c r="AMD25" s="5"/>
      <c r="AME25" s="5"/>
    </row>
    <row r="26" spans="1:1019" s="170" customFormat="1" ht="52.5" customHeight="1" x14ac:dyDescent="0.3">
      <c r="A26" s="5"/>
      <c r="B26" s="5"/>
      <c r="C26" s="5"/>
      <c r="D26" s="5"/>
      <c r="E26" s="5"/>
      <c r="F26" s="166"/>
      <c r="G26" s="166"/>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row>
    <row r="27" spans="1:1019" s="170" customFormat="1" ht="26.25" customHeight="1" x14ac:dyDescent="0.3">
      <c r="A27" s="5"/>
      <c r="B27" s="5"/>
      <c r="C27" s="5"/>
      <c r="D27" s="5"/>
      <c r="E27" s="5"/>
      <c r="F27" s="166"/>
      <c r="G27" s="166"/>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row>
    <row r="28" spans="1:1019" s="170" customFormat="1" ht="10.199999999999999" x14ac:dyDescent="0.2">
      <c r="A28" s="5"/>
      <c r="B28" s="5"/>
      <c r="C28" s="5"/>
      <c r="D28" s="5"/>
      <c r="E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row>
    <row r="29" spans="1:1019" s="170" customFormat="1" ht="10.199999999999999" x14ac:dyDescent="0.2">
      <c r="A29" s="5"/>
      <c r="B29" s="5"/>
      <c r="C29" s="5"/>
      <c r="D29" s="5"/>
      <c r="E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c r="IW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row>
    <row r="30" spans="1:1019" s="170" customFormat="1" ht="10.199999999999999" x14ac:dyDescent="0.2">
      <c r="A30" s="5"/>
      <c r="B30" s="5"/>
      <c r="C30" s="5"/>
      <c r="D30" s="5"/>
      <c r="E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row>
    <row r="31" spans="1:1019" s="170" customFormat="1" ht="10.199999999999999" x14ac:dyDescent="0.2">
      <c r="A31" s="5"/>
      <c r="B31" s="5"/>
      <c r="C31" s="5"/>
      <c r="D31" s="5"/>
      <c r="E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row>
    <row r="32" spans="1:1019" s="170" customFormat="1" ht="10.199999999999999" x14ac:dyDescent="0.2">
      <c r="A32" s="5"/>
      <c r="B32" s="5"/>
      <c r="C32" s="5"/>
      <c r="D32" s="5"/>
      <c r="E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c r="IW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c r="AJK32" s="5"/>
      <c r="AJL32" s="5"/>
      <c r="AJM32" s="5"/>
      <c r="AJN32" s="5"/>
      <c r="AJO32" s="5"/>
      <c r="AJP32" s="5"/>
      <c r="AJQ32" s="5"/>
      <c r="AJR32" s="5"/>
      <c r="AJS32" s="5"/>
      <c r="AJT32" s="5"/>
      <c r="AJU32" s="5"/>
      <c r="AJV32" s="5"/>
      <c r="AJW32" s="5"/>
      <c r="AJX32" s="5"/>
      <c r="AJY32" s="5"/>
      <c r="AJZ32" s="5"/>
      <c r="AKA32" s="5"/>
      <c r="AKB32" s="5"/>
      <c r="AKC32" s="5"/>
      <c r="AKD32" s="5"/>
      <c r="AKE32" s="5"/>
      <c r="AKF32" s="5"/>
      <c r="AKG32" s="5"/>
      <c r="AKH32" s="5"/>
      <c r="AKI32" s="5"/>
      <c r="AKJ32" s="5"/>
      <c r="AKK32" s="5"/>
      <c r="AKL32" s="5"/>
      <c r="AKM32" s="5"/>
      <c r="AKN32" s="5"/>
      <c r="AKO32" s="5"/>
      <c r="AKP32" s="5"/>
      <c r="AKQ32" s="5"/>
      <c r="AKR32" s="5"/>
      <c r="AKS32" s="5"/>
      <c r="AKT32" s="5"/>
      <c r="AKU32" s="5"/>
      <c r="AKV32" s="5"/>
      <c r="AKW32" s="5"/>
      <c r="AKX32" s="5"/>
      <c r="AKY32" s="5"/>
      <c r="AKZ32" s="5"/>
      <c r="ALA32" s="5"/>
      <c r="ALB32" s="5"/>
      <c r="ALC32" s="5"/>
      <c r="ALD32" s="5"/>
      <c r="ALE32" s="5"/>
      <c r="ALF32" s="5"/>
      <c r="ALG32" s="5"/>
      <c r="ALH32" s="5"/>
      <c r="ALI32" s="5"/>
      <c r="ALJ32" s="5"/>
      <c r="ALK32" s="5"/>
      <c r="ALL32" s="5"/>
      <c r="ALM32" s="5"/>
      <c r="ALN32" s="5"/>
      <c r="ALO32" s="5"/>
      <c r="ALP32" s="5"/>
      <c r="ALQ32" s="5"/>
      <c r="ALR32" s="5"/>
      <c r="ALS32" s="5"/>
      <c r="ALT32" s="5"/>
      <c r="ALU32" s="5"/>
      <c r="ALV32" s="5"/>
      <c r="ALW32" s="5"/>
      <c r="ALX32" s="5"/>
      <c r="ALY32" s="5"/>
      <c r="ALZ32" s="5"/>
      <c r="AMA32" s="5"/>
      <c r="AMB32" s="5"/>
      <c r="AMC32" s="5"/>
      <c r="AMD32" s="5"/>
      <c r="AME32" s="5"/>
    </row>
    <row r="33" spans="1:1019" s="170" customFormat="1" ht="13.8" x14ac:dyDescent="0.3">
      <c r="A33" s="5"/>
      <c r="B33" s="5"/>
      <c r="C33" s="5"/>
      <c r="D33" s="5"/>
      <c r="E33" s="5"/>
      <c r="F33" s="166"/>
      <c r="G33" s="166"/>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c r="IU33" s="5"/>
      <c r="IV33" s="5"/>
      <c r="IW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c r="AJK33" s="5"/>
      <c r="AJL33" s="5"/>
      <c r="AJM33" s="5"/>
      <c r="AJN33" s="5"/>
      <c r="AJO33" s="5"/>
      <c r="AJP33" s="5"/>
      <c r="AJQ33" s="5"/>
      <c r="AJR33" s="5"/>
      <c r="AJS33" s="5"/>
      <c r="AJT33" s="5"/>
      <c r="AJU33" s="5"/>
      <c r="AJV33" s="5"/>
      <c r="AJW33" s="5"/>
      <c r="AJX33" s="5"/>
      <c r="AJY33" s="5"/>
      <c r="AJZ33" s="5"/>
      <c r="AKA33" s="5"/>
      <c r="AKB33" s="5"/>
      <c r="AKC33" s="5"/>
      <c r="AKD33" s="5"/>
      <c r="AKE33" s="5"/>
      <c r="AKF33" s="5"/>
      <c r="AKG33" s="5"/>
      <c r="AKH33" s="5"/>
      <c r="AKI33" s="5"/>
      <c r="AKJ33" s="5"/>
      <c r="AKK33" s="5"/>
      <c r="AKL33" s="5"/>
      <c r="AKM33" s="5"/>
      <c r="AKN33" s="5"/>
      <c r="AKO33" s="5"/>
      <c r="AKP33" s="5"/>
      <c r="AKQ33" s="5"/>
      <c r="AKR33" s="5"/>
      <c r="AKS33" s="5"/>
      <c r="AKT33" s="5"/>
      <c r="AKU33" s="5"/>
      <c r="AKV33" s="5"/>
      <c r="AKW33" s="5"/>
      <c r="AKX33" s="5"/>
      <c r="AKY33" s="5"/>
      <c r="AKZ33" s="5"/>
      <c r="ALA33" s="5"/>
      <c r="ALB33" s="5"/>
      <c r="ALC33" s="5"/>
      <c r="ALD33" s="5"/>
      <c r="ALE33" s="5"/>
      <c r="ALF33" s="5"/>
      <c r="ALG33" s="5"/>
      <c r="ALH33" s="5"/>
      <c r="ALI33" s="5"/>
      <c r="ALJ33" s="5"/>
      <c r="ALK33" s="5"/>
      <c r="ALL33" s="5"/>
      <c r="ALM33" s="5"/>
      <c r="ALN33" s="5"/>
      <c r="ALO33" s="5"/>
      <c r="ALP33" s="5"/>
      <c r="ALQ33" s="5"/>
      <c r="ALR33" s="5"/>
      <c r="ALS33" s="5"/>
      <c r="ALT33" s="5"/>
      <c r="ALU33" s="5"/>
      <c r="ALV33" s="5"/>
      <c r="ALW33" s="5"/>
      <c r="ALX33" s="5"/>
      <c r="ALY33" s="5"/>
      <c r="ALZ33" s="5"/>
      <c r="AMA33" s="5"/>
      <c r="AMB33" s="5"/>
      <c r="AMC33" s="5"/>
      <c r="AMD33" s="5"/>
      <c r="AME33" s="5"/>
    </row>
    <row r="34" spans="1:1019" s="170" customFormat="1" ht="13.8" x14ac:dyDescent="0.3">
      <c r="A34" s="5"/>
      <c r="B34" s="5"/>
      <c r="C34" s="5"/>
      <c r="D34" s="5"/>
      <c r="E34" s="5"/>
      <c r="F34" s="166"/>
      <c r="G34" s="166"/>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c r="IW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row>
    <row r="35" spans="1:1019" s="170" customFormat="1" ht="13.8" x14ac:dyDescent="0.3">
      <c r="A35" s="5"/>
      <c r="B35" s="5"/>
      <c r="C35" s="5"/>
      <c r="D35" s="5"/>
      <c r="E35" s="5"/>
      <c r="F35" s="166"/>
      <c r="G35" s="166"/>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c r="IW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row>
    <row r="36" spans="1:1019" s="170" customFormat="1" ht="13.8" x14ac:dyDescent="0.3">
      <c r="A36" s="5"/>
      <c r="B36" s="5"/>
      <c r="C36" s="5"/>
      <c r="D36" s="5"/>
      <c r="E36" s="5"/>
      <c r="F36" s="166"/>
      <c r="G36" s="166"/>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c r="IW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row>
    <row r="37" spans="1:1019" s="170" customFormat="1" ht="13.8" x14ac:dyDescent="0.3">
      <c r="A37" s="5"/>
      <c r="B37" s="5"/>
      <c r="C37" s="5"/>
      <c r="D37" s="5"/>
      <c r="E37" s="5"/>
      <c r="F37" s="166"/>
      <c r="G37" s="166"/>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c r="IU37" s="5"/>
      <c r="IV37" s="5"/>
      <c r="IW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c r="AJK37" s="5"/>
      <c r="AJL37" s="5"/>
      <c r="AJM37" s="5"/>
      <c r="AJN37" s="5"/>
      <c r="AJO37" s="5"/>
      <c r="AJP37" s="5"/>
      <c r="AJQ37" s="5"/>
      <c r="AJR37" s="5"/>
      <c r="AJS37" s="5"/>
      <c r="AJT37" s="5"/>
      <c r="AJU37" s="5"/>
      <c r="AJV37" s="5"/>
      <c r="AJW37" s="5"/>
      <c r="AJX37" s="5"/>
      <c r="AJY37" s="5"/>
      <c r="AJZ37" s="5"/>
      <c r="AKA37" s="5"/>
      <c r="AKB37" s="5"/>
      <c r="AKC37" s="5"/>
      <c r="AKD37" s="5"/>
      <c r="AKE37" s="5"/>
      <c r="AKF37" s="5"/>
      <c r="AKG37" s="5"/>
      <c r="AKH37" s="5"/>
      <c r="AKI37" s="5"/>
      <c r="AKJ37" s="5"/>
      <c r="AKK37" s="5"/>
      <c r="AKL37" s="5"/>
      <c r="AKM37" s="5"/>
      <c r="AKN37" s="5"/>
      <c r="AKO37" s="5"/>
      <c r="AKP37" s="5"/>
      <c r="AKQ37" s="5"/>
      <c r="AKR37" s="5"/>
      <c r="AKS37" s="5"/>
      <c r="AKT37" s="5"/>
      <c r="AKU37" s="5"/>
      <c r="AKV37" s="5"/>
      <c r="AKW37" s="5"/>
      <c r="AKX37" s="5"/>
      <c r="AKY37" s="5"/>
      <c r="AKZ37" s="5"/>
      <c r="ALA37" s="5"/>
      <c r="ALB37" s="5"/>
      <c r="ALC37" s="5"/>
      <c r="ALD37" s="5"/>
      <c r="ALE37" s="5"/>
      <c r="ALF37" s="5"/>
      <c r="ALG37" s="5"/>
      <c r="ALH37" s="5"/>
      <c r="ALI37" s="5"/>
      <c r="ALJ37" s="5"/>
      <c r="ALK37" s="5"/>
      <c r="ALL37" s="5"/>
      <c r="ALM37" s="5"/>
      <c r="ALN37" s="5"/>
      <c r="ALO37" s="5"/>
      <c r="ALP37" s="5"/>
      <c r="ALQ37" s="5"/>
      <c r="ALR37" s="5"/>
      <c r="ALS37" s="5"/>
      <c r="ALT37" s="5"/>
      <c r="ALU37" s="5"/>
      <c r="ALV37" s="5"/>
      <c r="ALW37" s="5"/>
      <c r="ALX37" s="5"/>
      <c r="ALY37" s="5"/>
      <c r="ALZ37" s="5"/>
      <c r="AMA37" s="5"/>
      <c r="AMB37" s="5"/>
      <c r="AMC37" s="5"/>
      <c r="AMD37" s="5"/>
      <c r="AME37" s="5"/>
    </row>
    <row r="38" spans="1:1019" s="170" customFormat="1" ht="13.8" x14ac:dyDescent="0.3">
      <c r="A38" s="5"/>
      <c r="B38" s="5"/>
      <c r="C38" s="5"/>
      <c r="D38" s="5"/>
      <c r="E38" s="5"/>
      <c r="F38" s="166"/>
      <c r="G38" s="166"/>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row>
    <row r="39" spans="1:1019" s="170" customFormat="1" ht="13.8" x14ac:dyDescent="0.3">
      <c r="A39" s="5"/>
      <c r="B39" s="5"/>
      <c r="C39" s="5"/>
      <c r="D39" s="5"/>
      <c r="E39" s="5"/>
      <c r="F39" s="166"/>
      <c r="G39" s="166"/>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c r="IW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row>
    <row r="40" spans="1:1019" s="170" customFormat="1" ht="13.8" x14ac:dyDescent="0.3">
      <c r="A40" s="5"/>
      <c r="B40" s="5"/>
      <c r="C40" s="5"/>
      <c r="D40" s="5"/>
      <c r="E40" s="5"/>
      <c r="F40" s="166"/>
      <c r="G40" s="166"/>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row>
    <row r="41" spans="1:1019" s="170" customFormat="1" ht="13.5" customHeight="1" x14ac:dyDescent="0.3">
      <c r="A41" s="5"/>
      <c r="B41" s="5"/>
      <c r="C41" s="5"/>
      <c r="D41" s="5"/>
      <c r="E41" s="5"/>
      <c r="F41" s="166"/>
      <c r="G41" s="166"/>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row>
    <row r="42" spans="1:1019" s="170" customFormat="1" ht="13.5" customHeight="1" x14ac:dyDescent="0.3">
      <c r="A42" s="5"/>
      <c r="B42" s="5"/>
      <c r="C42" s="5"/>
      <c r="D42" s="5"/>
      <c r="E42" s="5"/>
      <c r="F42" s="166"/>
      <c r="G42" s="166"/>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row>
    <row r="43" spans="1:1019" s="170" customFormat="1" ht="13.5" customHeight="1" x14ac:dyDescent="0.3">
      <c r="A43" s="5"/>
      <c r="B43" s="5"/>
      <c r="C43" s="5"/>
      <c r="D43" s="5"/>
      <c r="E43" s="5"/>
      <c r="F43" s="166"/>
      <c r="G43" s="166"/>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row>
    <row r="44" spans="1:1019" s="170" customFormat="1" ht="13.8" x14ac:dyDescent="0.3">
      <c r="A44" s="5"/>
      <c r="B44" s="5"/>
      <c r="C44" s="5"/>
      <c r="D44" s="5"/>
      <c r="E44" s="5"/>
      <c r="F44" s="166"/>
      <c r="G44" s="166"/>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row>
    <row r="45" spans="1:1019" s="170" customFormat="1" ht="13.8" x14ac:dyDescent="0.3">
      <c r="A45" s="5"/>
      <c r="B45" s="5"/>
      <c r="C45" s="5"/>
      <c r="D45" s="5"/>
      <c r="E45" s="5"/>
      <c r="F45" s="166"/>
      <c r="G45" s="166"/>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c r="IW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row>
    <row r="46" spans="1:1019" s="170" customFormat="1" ht="13.8" x14ac:dyDescent="0.3">
      <c r="A46" s="5"/>
      <c r="B46" s="5"/>
      <c r="C46" s="5"/>
      <c r="D46" s="5"/>
      <c r="E46" s="5"/>
      <c r="F46" s="166"/>
      <c r="G46" s="166"/>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row>
    <row r="47" spans="1:1019" s="170" customFormat="1" ht="13.8" x14ac:dyDescent="0.3">
      <c r="A47" s="5"/>
      <c r="B47" s="5"/>
      <c r="C47" s="5"/>
      <c r="D47" s="5"/>
      <c r="E47" s="5"/>
      <c r="F47" s="166"/>
      <c r="G47" s="166"/>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row>
    <row r="48" spans="1:1019" ht="26.25" customHeight="1" x14ac:dyDescent="0.3">
      <c r="B48" s="5"/>
      <c r="C48" s="5"/>
      <c r="F48" s="511"/>
      <c r="G48" s="511"/>
    </row>
    <row r="49" spans="2:7" x14ac:dyDescent="0.3">
      <c r="B49" s="5"/>
      <c r="C49" s="5"/>
      <c r="F49" s="172"/>
      <c r="G49" s="172"/>
    </row>
    <row r="50" spans="2:7" x14ac:dyDescent="0.3">
      <c r="B50" s="5"/>
      <c r="C50" s="5"/>
      <c r="D50" s="4"/>
      <c r="E50" s="4"/>
      <c r="F50" s="5"/>
    </row>
    <row r="51" spans="2:7" x14ac:dyDescent="0.3">
      <c r="B51" s="5"/>
      <c r="C51" s="5"/>
      <c r="D51" s="4"/>
      <c r="E51" s="4"/>
      <c r="F51" s="5"/>
    </row>
  </sheetData>
  <sheetProtection algorithmName="SHA-512" hashValue="Zaq1yy7XdP5bmaNXuAcu/ffXvo1a+chHJ1js5jQI7o2ichVrDpeJnk0bI7s4BltsNdeY33CTXMgOrQPJ8YtnWA==" saltValue="/2j4BIa6dMYg5YtqOjkzGQ==" spinCount="100000" sheet="1" objects="1" scenarios="1"/>
  <mergeCells count="3">
    <mergeCell ref="F24:G24"/>
    <mergeCell ref="F48:G48"/>
    <mergeCell ref="D2:E2"/>
  </mergeCells>
  <conditionalFormatting sqref="A1:C1">
    <cfRule type="containsText" dxfId="88" priority="2" operator="containsText" text="Ne pas">
      <formula>NOT(ISERROR(SEARCH("Ne pas",A1)))</formula>
    </cfRule>
  </conditionalFormatting>
  <conditionalFormatting sqref="L1">
    <cfRule type="cellIs" dxfId="87" priority="1" operator="equal">
      <formula>"erreur"</formula>
    </cfRule>
  </conditionalFormatting>
  <printOptions horizontalCentered="1" headings="1"/>
  <pageMargins left="0.3543307086614173" right="0.3543307086614173" top="0.86574803149606305" bottom="0.6393700787401575" header="0.47204724409448823" footer="0.15748031496062992"/>
  <pageSetup paperSize="9" fitToWidth="0" fitToHeight="0" orientation="landscape" r:id="rId1"/>
  <headerFooter alignWithMargins="0">
    <oddFooter>&amp;L&amp;"Calibri,Regular"&amp;K000000&amp;F/&amp;A&amp;R&amp;"Calibri,Regular"&amp;K000000Date d'impression : &amp;D
Page &amp;P sur &amp;N</oddFooter>
  </headerFooter>
  <extLst>
    <ext xmlns:x14="http://schemas.microsoft.com/office/spreadsheetml/2009/9/main" uri="{CCE6A557-97BC-4b89-ADB6-D9C93CAAB3DF}">
      <x14:dataValidations xmlns:xm="http://schemas.microsoft.com/office/excel/2006/main" count="1">
        <x14:dataValidation type="custom" operator="notEqual" allowBlank="1" showInputMessage="1" showErrorMessage="1" errorTitle="Error" error="Vous avez séléctionné &quot;Horaire* dans l'onglet F0" xr:uid="{2BA6E806-92C5-45EE-A909-0B7D85E1284E}">
          <x14:formula1>
            <xm:f>'F0 - Générales'!$B$6="Journalier"</xm:f>
          </x14:formula1>
          <xm:sqref>B4:E19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R23"/>
  <sheetViews>
    <sheetView workbookViewId="0">
      <selection activeCell="E4" sqref="E4"/>
    </sheetView>
  </sheetViews>
  <sheetFormatPr defaultColWidth="11.44140625" defaultRowHeight="14.4" outlineLevelCol="1" x14ac:dyDescent="0.3"/>
  <cols>
    <col min="1" max="1" width="31.88671875" style="138" customWidth="1"/>
    <col min="2" max="2" width="37.5546875" style="138" customWidth="1"/>
    <col min="3" max="3" width="5.5546875" style="138" bestFit="1" customWidth="1"/>
    <col min="4" max="4" width="5.5546875" style="138" hidden="1" customWidth="1" outlineLevel="1"/>
    <col min="5" max="5" width="20.6640625" style="138" customWidth="1" collapsed="1"/>
    <col min="6" max="12" width="20.6640625" style="138" customWidth="1"/>
    <col min="13" max="13" width="13.6640625" style="138" customWidth="1"/>
    <col min="14" max="14" width="9.109375" style="138" bestFit="1" customWidth="1"/>
    <col min="15" max="18" width="12.6640625" style="138" customWidth="1"/>
    <col min="19" max="19" width="12.109375" style="138" customWidth="1"/>
    <col min="20" max="16384" width="11.44140625" style="138"/>
  </cols>
  <sheetData>
    <row r="1" spans="1:18" ht="21.6" thickBot="1" x14ac:dyDescent="0.35">
      <c r="A1" s="165" t="str">
        <f>IF('F0 - Générales'!$B$6="Journalier","F2 - Données facturation horaire pour l'année "&amp;Data!$B$4&amp;" - NE PAS RENSEIGNER CET ONGLET CAR VOUS AVEZ SELECTIONNE JOURNALIER","F2 - Données facturation horaire pour l'année "&amp;Data!$B$4)</f>
        <v>F2 - Données facturation horaire pour l'année 2025</v>
      </c>
      <c r="B1" s="165"/>
      <c r="C1" s="165"/>
      <c r="D1" s="165"/>
      <c r="E1" s="165"/>
      <c r="F1" s="165"/>
      <c r="G1" s="165"/>
      <c r="H1" s="165"/>
      <c r="I1" s="165"/>
      <c r="N1" s="326"/>
      <c r="Q1" s="220">
        <f>IF(SUM($G$4:$G$22)=0,0,
SUM($G$4:$G$22)/
((SUMIFS('F3 - RDP - Effectif'!$F:$F,'F3 - RDP - Effectif'!$D:$D,RIGHT($R$1,11))
*
SUMIFS('F4 - RTT'!$D:$D,'F4 - RTT'!$A:$A,"Total RTT"))))</f>
        <v>0</v>
      </c>
      <c r="R1" s="183" t="s">
        <v>343</v>
      </c>
    </row>
    <row r="2" spans="1:18" ht="18.600000000000001" thickBot="1" x14ac:dyDescent="0.35">
      <c r="B2" s="3"/>
      <c r="C2" s="4"/>
      <c r="D2" s="4"/>
      <c r="E2" s="515" t="s">
        <v>333</v>
      </c>
      <c r="F2" s="515"/>
      <c r="G2" s="515"/>
      <c r="H2" s="515"/>
      <c r="I2" s="514" t="s">
        <v>489</v>
      </c>
      <c r="J2" s="514"/>
      <c r="K2" s="514"/>
      <c r="L2" s="514"/>
    </row>
    <row r="3" spans="1:18" s="182" customFormat="1" ht="72.599999999999994" thickBot="1" x14ac:dyDescent="0.35">
      <c r="A3" s="203" t="s">
        <v>334</v>
      </c>
      <c r="B3" s="204" t="s">
        <v>4</v>
      </c>
      <c r="C3" s="205" t="s">
        <v>5</v>
      </c>
      <c r="D3" s="205" t="s">
        <v>5</v>
      </c>
      <c r="E3" s="206" t="s">
        <v>335</v>
      </c>
      <c r="F3" s="207" t="s">
        <v>336</v>
      </c>
      <c r="G3" s="207" t="s">
        <v>337</v>
      </c>
      <c r="H3" s="207" t="s">
        <v>338</v>
      </c>
      <c r="I3" s="206" t="s">
        <v>335</v>
      </c>
      <c r="J3" s="207" t="s">
        <v>336</v>
      </c>
      <c r="K3" s="207" t="s">
        <v>337</v>
      </c>
      <c r="L3" s="207" t="s">
        <v>338</v>
      </c>
      <c r="N3" s="210" t="s">
        <v>326</v>
      </c>
      <c r="O3" s="211" t="s">
        <v>254</v>
      </c>
      <c r="P3" s="211" t="s">
        <v>253</v>
      </c>
      <c r="Q3" s="228" t="s">
        <v>227</v>
      </c>
      <c r="R3" s="138"/>
    </row>
    <row r="4" spans="1:18" ht="28.8" x14ac:dyDescent="0.3">
      <c r="A4" s="196" t="s">
        <v>6</v>
      </c>
      <c r="B4" s="197" t="s">
        <v>7</v>
      </c>
      <c r="C4" s="198">
        <v>7</v>
      </c>
      <c r="D4" s="198">
        <v>7</v>
      </c>
      <c r="E4" s="199"/>
      <c r="F4" s="199"/>
      <c r="G4" s="318">
        <f>SUM(E4:F4)</f>
        <v>0</v>
      </c>
      <c r="H4" s="200"/>
      <c r="I4" s="217"/>
      <c r="J4" s="201"/>
      <c r="K4" s="318">
        <f>SUM(I4:J4)</f>
        <v>0</v>
      </c>
      <c r="L4" s="202"/>
      <c r="N4" s="212">
        <v>7</v>
      </c>
      <c r="O4" s="213" cm="1">
        <f t="array" ref="O4">SUM((Data!$BA$4:$BN$16)*($N4=Data!$AZ$4:$AZ$16)*('F0 - Générales'!$B$7=Data!$BA$3:$BN$3))</f>
        <v>0</v>
      </c>
      <c r="P4" s="213">
        <f t="shared" ref="P4:P10" si="0">SUMIFS($G:$G,$D:$D,$N4)*$O4</f>
        <v>0</v>
      </c>
      <c r="Q4" s="229" cm="1">
        <f t="array" ref="Q4">IF($Q$1="","",
IF($Q$1&lt;SUM((Table6[Efficience min])*(Table6[Activité]=$N4)),$P4/SUM((Table6[Efficience min])*(Table6[Activité]=$N4))*$Q$1,
IF($Q$1&gt;SUM((Table6[Efficience max])*(Table6[Activité]=$N4)),$P4/SUM((Table6[Efficience max])*(Table6[Activité]=$N4))*$Q$1,$P4)))</f>
        <v>0</v>
      </c>
    </row>
    <row r="5" spans="1:18" ht="28.8" x14ac:dyDescent="0.3">
      <c r="A5" s="177" t="s">
        <v>6</v>
      </c>
      <c r="B5" s="184" t="s">
        <v>8</v>
      </c>
      <c r="C5" s="185" t="s">
        <v>9</v>
      </c>
      <c r="D5" s="185" t="s">
        <v>9</v>
      </c>
      <c r="E5" s="186"/>
      <c r="F5" s="186"/>
      <c r="G5" s="318">
        <f t="shared" ref="G5:G22" si="1">SUM(E5:F5)</f>
        <v>0</v>
      </c>
      <c r="H5" s="187"/>
      <c r="I5" s="218"/>
      <c r="J5" s="188"/>
      <c r="K5" s="319">
        <f t="shared" ref="K5:K22" si="2">SUM(I5:J5)</f>
        <v>0</v>
      </c>
      <c r="L5" s="189"/>
      <c r="N5" s="214" t="s">
        <v>9</v>
      </c>
      <c r="O5" s="209" cm="1">
        <f t="array" ref="O5">SUM((Data!$BA$4:$BN$16)*($N5=Data!$AZ$4:$AZ$16)*('F0 - Générales'!$B$7=Data!$BA$3:$BN$3))</f>
        <v>0</v>
      </c>
      <c r="P5" s="209">
        <f t="shared" si="0"/>
        <v>0</v>
      </c>
      <c r="Q5" s="230" cm="1">
        <f t="array" ref="Q5">IF($Q$1="","",
IF($Q$1&lt;SUM((Table6[Efficience min])*(Table6[Activité]=$N5)),$P5/SUM((Table6[Efficience min])*(Table6[Activité]=$N5))*$Q$1,
IF($Q$1&gt;SUM((Table6[Efficience max])*(Table6[Activité]=$N5)),$P5/SUM((Table6[Efficience max])*(Table6[Activité]=$N5))*$Q$1,$P5)))</f>
        <v>0</v>
      </c>
    </row>
    <row r="6" spans="1:18" ht="43.2" x14ac:dyDescent="0.3">
      <c r="A6" s="177" t="s">
        <v>6</v>
      </c>
      <c r="B6" s="184" t="s">
        <v>10</v>
      </c>
      <c r="C6" s="185" t="s">
        <v>11</v>
      </c>
      <c r="D6" s="185" t="s">
        <v>11</v>
      </c>
      <c r="E6" s="186"/>
      <c r="F6" s="186"/>
      <c r="G6" s="318">
        <f t="shared" si="1"/>
        <v>0</v>
      </c>
      <c r="H6" s="187"/>
      <c r="I6" s="218"/>
      <c r="J6" s="188"/>
      <c r="K6" s="319">
        <f t="shared" si="2"/>
        <v>0</v>
      </c>
      <c r="L6" s="189"/>
      <c r="N6" s="214" t="s">
        <v>11</v>
      </c>
      <c r="O6" s="209" cm="1">
        <f t="array" ref="O6">SUM((Data!$BA$4:$BN$16)*($N6=Data!$AZ$4:$AZ$16)*('F0 - Générales'!$B$7=Data!$BA$3:$BN$3))</f>
        <v>0</v>
      </c>
      <c r="P6" s="209">
        <f t="shared" si="0"/>
        <v>0</v>
      </c>
      <c r="Q6" s="230" cm="1">
        <f t="array" ref="Q6">IF($Q$1="","",
IF($Q$1&lt;SUM((Table6[Efficience min])*(Table6[Activité]=$N6)),$P6/SUM((Table6[Efficience min])*(Table6[Activité]=$N6))*$Q$1,
IF($Q$1&gt;SUM((Table6[Efficience max])*(Table6[Activité]=$N6)),$P6/SUM((Table6[Efficience max])*(Table6[Activité]=$N6))*$Q$1,$P6)))</f>
        <v>0</v>
      </c>
    </row>
    <row r="7" spans="1:18" ht="43.2" x14ac:dyDescent="0.3">
      <c r="A7" s="177" t="s">
        <v>6</v>
      </c>
      <c r="B7" s="184" t="s">
        <v>12</v>
      </c>
      <c r="C7" s="185" t="s">
        <v>13</v>
      </c>
      <c r="D7" s="185" t="s">
        <v>13</v>
      </c>
      <c r="E7" s="186"/>
      <c r="F7" s="186"/>
      <c r="G7" s="318">
        <f t="shared" si="1"/>
        <v>0</v>
      </c>
      <c r="H7" s="187"/>
      <c r="I7" s="218"/>
      <c r="J7" s="188"/>
      <c r="K7" s="319">
        <f t="shared" si="2"/>
        <v>0</v>
      </c>
      <c r="L7" s="189"/>
      <c r="N7" s="214" t="s">
        <v>13</v>
      </c>
      <c r="O7" s="209" cm="1">
        <f t="array" ref="O7">SUM((Data!$BA$4:$BN$16)*($N7=Data!$AZ$4:$AZ$16)*('F0 - Générales'!$B$7=Data!$BA$3:$BN$3))</f>
        <v>0</v>
      </c>
      <c r="P7" s="209">
        <f t="shared" si="0"/>
        <v>0</v>
      </c>
      <c r="Q7" s="230" cm="1">
        <f t="array" ref="Q7">IF($Q$1="","",
IF($Q$1&lt;SUM((Table6[Efficience min])*(Table6[Activité]=$N7)),$P7/SUM((Table6[Efficience min])*(Table6[Activité]=$N7))*$Q$1,
IF($Q$1&gt;SUM((Table6[Efficience max])*(Table6[Activité]=$N7)),$P7/SUM((Table6[Efficience max])*(Table6[Activité]=$N7))*$Q$1,$P7)))</f>
        <v>0</v>
      </c>
    </row>
    <row r="8" spans="1:18" ht="43.2" x14ac:dyDescent="0.3">
      <c r="A8" s="178" t="s">
        <v>173</v>
      </c>
      <c r="B8" s="184" t="s">
        <v>14</v>
      </c>
      <c r="C8" s="185" t="s">
        <v>15</v>
      </c>
      <c r="D8" s="185" t="s">
        <v>15</v>
      </c>
      <c r="E8" s="186"/>
      <c r="F8" s="186"/>
      <c r="G8" s="318">
        <f t="shared" si="1"/>
        <v>0</v>
      </c>
      <c r="H8" s="187"/>
      <c r="I8" s="218"/>
      <c r="J8" s="188"/>
      <c r="K8" s="319">
        <f t="shared" si="2"/>
        <v>0</v>
      </c>
      <c r="L8" s="189"/>
      <c r="N8" s="214" t="s">
        <v>15</v>
      </c>
      <c r="O8" s="209" cm="1">
        <f t="array" ref="O8">SUM((Data!$BA$4:$BN$16)*($N8=Data!$AZ$4:$AZ$16)*('F0 - Générales'!$B$7=Data!$BA$3:$BN$3))</f>
        <v>0</v>
      </c>
      <c r="P8" s="209">
        <f t="shared" si="0"/>
        <v>0</v>
      </c>
      <c r="Q8" s="230" cm="1">
        <f t="array" ref="Q8">IF($Q$1="","",
IF($Q$1&lt;SUM((Table6[Efficience min])*(Table6[Activité]=$N8)),$P8/SUM((Table6[Efficience min])*(Table6[Activité]=$N8))*$Q$1,
IF($Q$1&gt;SUM((Table6[Efficience max])*(Table6[Activité]=$N8)),$P8/SUM((Table6[Efficience max])*(Table6[Activité]=$N8))*$Q$1,$P8)))</f>
        <v>0</v>
      </c>
    </row>
    <row r="9" spans="1:18" ht="43.2" x14ac:dyDescent="0.3">
      <c r="A9" s="179" t="s">
        <v>16</v>
      </c>
      <c r="B9" s="184" t="s">
        <v>17</v>
      </c>
      <c r="C9" s="185" t="s">
        <v>18</v>
      </c>
      <c r="D9" s="185">
        <v>11</v>
      </c>
      <c r="E9" s="186"/>
      <c r="F9" s="186"/>
      <c r="G9" s="318">
        <f t="shared" si="1"/>
        <v>0</v>
      </c>
      <c r="H9" s="187"/>
      <c r="I9" s="218"/>
      <c r="J9" s="188"/>
      <c r="K9" s="319">
        <f t="shared" si="2"/>
        <v>0</v>
      </c>
      <c r="L9" s="189"/>
      <c r="N9" s="214">
        <v>11</v>
      </c>
      <c r="O9" s="209" cm="1">
        <f t="array" ref="O9">SUM((Data!$BA$4:$BN$16)*($N9=Data!$AZ$4:$AZ$16)*('F0 - Générales'!$B$7=Data!$BA$3:$BN$3))</f>
        <v>0</v>
      </c>
      <c r="P9" s="209">
        <f t="shared" si="0"/>
        <v>0</v>
      </c>
      <c r="Q9" s="230" cm="1">
        <f t="array" ref="Q9">IF($Q$1="","",
IF($Q$1&lt;SUM((Table6[Efficience min])*(Table6[Activité]=$N9)),$P9/SUM((Table6[Efficience min])*(Table6[Activité]=$N9))*$Q$1,
IF($Q$1&gt;SUM((Table6[Efficience max])*(Table6[Activité]=$N9)),$P9/SUM((Table6[Efficience max])*(Table6[Activité]=$N9))*$Q$1,$P9)))</f>
        <v>0</v>
      </c>
    </row>
    <row r="10" spans="1:18" ht="43.2" x14ac:dyDescent="0.3">
      <c r="A10" s="179" t="s">
        <v>16</v>
      </c>
      <c r="B10" s="184" t="s">
        <v>19</v>
      </c>
      <c r="C10" s="185" t="s">
        <v>20</v>
      </c>
      <c r="D10" s="185">
        <v>11</v>
      </c>
      <c r="E10" s="186"/>
      <c r="F10" s="186"/>
      <c r="G10" s="318">
        <f t="shared" si="1"/>
        <v>0</v>
      </c>
      <c r="H10" s="187"/>
      <c r="I10" s="218"/>
      <c r="J10" s="188"/>
      <c r="K10" s="319">
        <f t="shared" si="2"/>
        <v>0</v>
      </c>
      <c r="L10" s="189"/>
      <c r="N10" s="214">
        <v>14</v>
      </c>
      <c r="O10" s="209" cm="1">
        <f t="array" ref="O10">SUM((Data!$BA$4:$BN$16)*($N10=Data!$AZ$4:$AZ$16)*('F0 - Générales'!$B$7=Data!$BA$3:$BN$3))</f>
        <v>0</v>
      </c>
      <c r="P10" s="209">
        <f t="shared" si="0"/>
        <v>0</v>
      </c>
      <c r="Q10" s="230" cm="1">
        <f t="array" ref="Q10">IF($Q$1="","",
IF($Q$1&lt;SUM((Table6[Efficience min])*(Table6[Activité]=$N10)),$P10/SUM((Table6[Efficience min])*(Table6[Activité]=$N10))*$Q$1,
IF($Q$1&gt;SUM((Table6[Efficience max])*(Table6[Activité]=$N10)),$P10/SUM((Table6[Efficience max])*(Table6[Activité]=$N10))*$Q$1,$P10)))</f>
        <v>0</v>
      </c>
    </row>
    <row r="11" spans="1:18" ht="43.8" thickBot="1" x14ac:dyDescent="0.35">
      <c r="A11" s="179" t="s">
        <v>16</v>
      </c>
      <c r="B11" s="184" t="s">
        <v>21</v>
      </c>
      <c r="C11" s="185" t="s">
        <v>22</v>
      </c>
      <c r="D11" s="185">
        <v>11</v>
      </c>
      <c r="E11" s="186"/>
      <c r="F11" s="186"/>
      <c r="G11" s="318">
        <f t="shared" si="1"/>
        <v>0</v>
      </c>
      <c r="H11" s="187"/>
      <c r="I11" s="218"/>
      <c r="J11" s="188"/>
      <c r="K11" s="319">
        <f t="shared" si="2"/>
        <v>0</v>
      </c>
      <c r="L11" s="189"/>
      <c r="N11" s="215" t="s">
        <v>46</v>
      </c>
      <c r="O11" s="216"/>
      <c r="P11" s="216" cm="1">
        <f t="array" ref="P11">IF('F0 - Générales'!$B$7="8.3",
SUM((Data!$BA$4:$BN$16)*(Data!$BA$3:$BN$3="9.1")*(Data!$AZ$4:$AZ$16="8.3"))*SUMIFS($G:$G,$D:$D,"8.3")*SUM((Data!$BA$4:$BN$16)*("8.3"=Data!$AZ$4:$AZ$16)*('F0 - Générales'!$B$7=Data!$BA$3:$BN$3))+SUMIFS($G:$G,$D:$D,"9.1")*SUM((Data!$BA$4:$BN$16)*("9.1"=Data!$AZ$4:$AZ$16)*('F0 - Générales'!$B$7=Data!$BA$3:$BN$3)),
SUM($P$4:$P$10))</f>
        <v>0</v>
      </c>
      <c r="Q11" s="231" cm="1">
        <f t="array" ref="Q11">IF(SUMIFS($G:$G,$D:$D,"9.1")*SUM((Data!$BA$4:$BN$16)*("9.1"=Data!$AZ$4:$AZ$16)*('F0 - Générales'!$B$7=Data!$BA$3:$BN$3))=0,
IF($Q$1&lt;SUM((Table6[Efficience min])*(Table6[Activité]=$N4)),(SUM($P$4:$P$10)-SUMIFS($G:$G,$D:$D,"9.1")*SUM((Data!$BA$4:$BN$16)*("9.1"=Data!$AZ$4:$AZ$16)*('F0 - Générales'!$B$7=Data!$BA$3:$BN$3)))/SUM((Table6[Efficience min])*(Table6[Activité]=$N4))*$Q$1,
IF($Q$1&gt;SUM((Table6[Efficience max])*(Table6[Activité]=$N4)),(SUM($P$4:$P$10)-SUMIFS($G:$G,$D:$D,"9.1")*SUM((Data!$BA$4:$BN$16)*("9.1"=Data!$AZ$4:$AZ$16)*('F0 - Générales'!$B$7=Data!$BA$3:$BN$3)))/SUM((Table6[Efficience max])*(Table6[Activité]=$N4))*$Q$1,(SUM($P$4:$P$10)-SUMIFS($G:$G,$D:$D,"9.1")*SUM((Data!$BA$4:$BN$16)*("9.1"=Data!$AZ$4:$AZ$16)*('F0 - Générales'!$B$7=Data!$BA$3:$BN$3))))),
IF($Q$1&lt;SUM((Table6[Efficience min])*(Table6[Activité]=$N8)),SUMIFS($G:$G,$D:$D,"9.1")*SUM((Data!$BA$4:$BN$16)*("9.1"=Data!$AZ$4:$AZ$16)*('F0 - Générales'!$B$7=Data!$BA$3:$BN$3))/SUM((Table6[Efficience min])*(Table6[Activité]=$N8))*$Q$1,IF($Q$1&gt;SUM((Table6[Efficience max])*(Table6[Activité]=$N8)),SUMIFS($G:$G,$D:$D,"9.1")*SUM((Data!$BA$4:$BN$16)*("9.1"=Data!$AZ$4:$AZ$16)*('F0 - Générales'!$B$7=Data!$BA$3:$BN$3))*$Q$1/SUM((Table6[Efficience max])*(Table6[Activité]=$N8)),SUMIFS($G:$G,$D:$D,"9.1")*SUM((Data!$BA$4:$BN$16)*("9.1"=Data!$AZ$4:$AZ$16)*('F0 - Générales'!$B$7=Data!$BA$3:$BN$3)))))</f>
        <v>0</v>
      </c>
    </row>
    <row r="12" spans="1:18" ht="43.2" x14ac:dyDescent="0.3">
      <c r="A12" s="179" t="s">
        <v>16</v>
      </c>
      <c r="B12" s="184" t="s">
        <v>23</v>
      </c>
      <c r="C12" s="185" t="s">
        <v>24</v>
      </c>
      <c r="D12" s="185">
        <v>11</v>
      </c>
      <c r="E12" s="186"/>
      <c r="F12" s="186"/>
      <c r="G12" s="318">
        <f t="shared" si="1"/>
        <v>0</v>
      </c>
      <c r="H12" s="187"/>
      <c r="I12" s="218"/>
      <c r="J12" s="188"/>
      <c r="K12" s="319">
        <f t="shared" si="2"/>
        <v>0</v>
      </c>
      <c r="L12" s="189"/>
    </row>
    <row r="13" spans="1:18" ht="57.6" x14ac:dyDescent="0.3">
      <c r="A13" s="179" t="s">
        <v>16</v>
      </c>
      <c r="B13" s="184" t="s">
        <v>25</v>
      </c>
      <c r="C13" s="185" t="s">
        <v>26</v>
      </c>
      <c r="D13" s="185">
        <v>11</v>
      </c>
      <c r="E13" s="186"/>
      <c r="F13" s="186"/>
      <c r="G13" s="318">
        <f t="shared" si="1"/>
        <v>0</v>
      </c>
      <c r="H13" s="187"/>
      <c r="I13" s="218"/>
      <c r="J13" s="188"/>
      <c r="K13" s="319">
        <f t="shared" si="2"/>
        <v>0</v>
      </c>
      <c r="L13" s="189"/>
    </row>
    <row r="14" spans="1:18" ht="43.2" x14ac:dyDescent="0.3">
      <c r="A14" s="179" t="s">
        <v>16</v>
      </c>
      <c r="B14" s="184" t="s">
        <v>27</v>
      </c>
      <c r="C14" s="185" t="s">
        <v>28</v>
      </c>
      <c r="D14" s="185">
        <v>11</v>
      </c>
      <c r="E14" s="186"/>
      <c r="F14" s="186"/>
      <c r="G14" s="318">
        <f t="shared" si="1"/>
        <v>0</v>
      </c>
      <c r="H14" s="187"/>
      <c r="I14" s="218"/>
      <c r="J14" s="188"/>
      <c r="K14" s="319">
        <f t="shared" si="2"/>
        <v>0</v>
      </c>
      <c r="L14" s="189"/>
    </row>
    <row r="15" spans="1:18" ht="57.6" x14ac:dyDescent="0.3">
      <c r="A15" s="179" t="s">
        <v>16</v>
      </c>
      <c r="B15" s="184" t="s">
        <v>29</v>
      </c>
      <c r="C15" s="185" t="s">
        <v>30</v>
      </c>
      <c r="D15" s="185">
        <v>11</v>
      </c>
      <c r="E15" s="186"/>
      <c r="F15" s="186"/>
      <c r="G15" s="318">
        <f t="shared" si="1"/>
        <v>0</v>
      </c>
      <c r="H15" s="187"/>
      <c r="I15" s="218"/>
      <c r="J15" s="188"/>
      <c r="K15" s="319">
        <f t="shared" si="2"/>
        <v>0</v>
      </c>
      <c r="L15" s="189"/>
    </row>
    <row r="16" spans="1:18" ht="72" x14ac:dyDescent="0.3">
      <c r="A16" s="179" t="s">
        <v>16</v>
      </c>
      <c r="B16" s="184" t="s">
        <v>172</v>
      </c>
      <c r="C16" s="185" t="s">
        <v>31</v>
      </c>
      <c r="D16" s="185">
        <v>11</v>
      </c>
      <c r="E16" s="186"/>
      <c r="F16" s="186"/>
      <c r="G16" s="318">
        <f t="shared" si="1"/>
        <v>0</v>
      </c>
      <c r="H16" s="187"/>
      <c r="I16" s="218"/>
      <c r="J16" s="188"/>
      <c r="K16" s="319">
        <f t="shared" si="2"/>
        <v>0</v>
      </c>
      <c r="L16" s="189"/>
    </row>
    <row r="17" spans="1:12" ht="43.2" x14ac:dyDescent="0.3">
      <c r="A17" s="179" t="s">
        <v>16</v>
      </c>
      <c r="B17" s="184" t="s">
        <v>32</v>
      </c>
      <c r="C17" s="185" t="s">
        <v>33</v>
      </c>
      <c r="D17" s="185">
        <v>11</v>
      </c>
      <c r="E17" s="186"/>
      <c r="F17" s="186"/>
      <c r="G17" s="318">
        <f t="shared" si="1"/>
        <v>0</v>
      </c>
      <c r="H17" s="187"/>
      <c r="I17" s="218"/>
      <c r="J17" s="188"/>
      <c r="K17" s="319">
        <f t="shared" si="2"/>
        <v>0</v>
      </c>
      <c r="L17" s="189"/>
    </row>
    <row r="18" spans="1:12" ht="43.2" x14ac:dyDescent="0.3">
      <c r="A18" s="179" t="s">
        <v>16</v>
      </c>
      <c r="B18" s="184" t="s">
        <v>34</v>
      </c>
      <c r="C18" s="185" t="s">
        <v>35</v>
      </c>
      <c r="D18" s="185">
        <v>11</v>
      </c>
      <c r="E18" s="186"/>
      <c r="F18" s="186"/>
      <c r="G18" s="318">
        <f t="shared" si="1"/>
        <v>0</v>
      </c>
      <c r="H18" s="187"/>
      <c r="I18" s="218"/>
      <c r="J18" s="188"/>
      <c r="K18" s="319">
        <f t="shared" si="2"/>
        <v>0</v>
      </c>
      <c r="L18" s="189"/>
    </row>
    <row r="19" spans="1:12" ht="28.8" x14ac:dyDescent="0.3">
      <c r="A19" s="180" t="s">
        <v>36</v>
      </c>
      <c r="B19" s="184" t="s">
        <v>37</v>
      </c>
      <c r="C19" s="185" t="s">
        <v>38</v>
      </c>
      <c r="D19" s="185">
        <v>13</v>
      </c>
      <c r="E19" s="186"/>
      <c r="F19" s="186"/>
      <c r="G19" s="318">
        <f t="shared" si="1"/>
        <v>0</v>
      </c>
      <c r="H19" s="187"/>
      <c r="I19" s="218"/>
      <c r="J19" s="188"/>
      <c r="K19" s="319">
        <f t="shared" si="2"/>
        <v>0</v>
      </c>
      <c r="L19" s="189"/>
    </row>
    <row r="20" spans="1:12" ht="28.8" x14ac:dyDescent="0.3">
      <c r="A20" s="180" t="s">
        <v>36</v>
      </c>
      <c r="B20" s="184" t="s">
        <v>39</v>
      </c>
      <c r="C20" s="185" t="s">
        <v>40</v>
      </c>
      <c r="D20" s="185">
        <v>13</v>
      </c>
      <c r="E20" s="186"/>
      <c r="F20" s="186"/>
      <c r="G20" s="318">
        <f t="shared" si="1"/>
        <v>0</v>
      </c>
      <c r="H20" s="187"/>
      <c r="I20" s="218"/>
      <c r="J20" s="188"/>
      <c r="K20" s="319">
        <f t="shared" si="2"/>
        <v>0</v>
      </c>
      <c r="L20" s="189"/>
    </row>
    <row r="21" spans="1:12" ht="28.8" x14ac:dyDescent="0.3">
      <c r="A21" s="180" t="s">
        <v>36</v>
      </c>
      <c r="B21" s="184" t="s">
        <v>41</v>
      </c>
      <c r="C21" s="185" t="s">
        <v>42</v>
      </c>
      <c r="D21" s="185">
        <v>14</v>
      </c>
      <c r="E21" s="186"/>
      <c r="F21" s="186"/>
      <c r="G21" s="318">
        <f t="shared" si="1"/>
        <v>0</v>
      </c>
      <c r="H21" s="187"/>
      <c r="I21" s="218"/>
      <c r="J21" s="188"/>
      <c r="K21" s="319">
        <f t="shared" si="2"/>
        <v>0</v>
      </c>
      <c r="L21" s="189"/>
    </row>
    <row r="22" spans="1:12" ht="29.4" thickBot="1" x14ac:dyDescent="0.35">
      <c r="A22" s="181" t="s">
        <v>36</v>
      </c>
      <c r="B22" s="190" t="s">
        <v>43</v>
      </c>
      <c r="C22" s="191" t="s">
        <v>44</v>
      </c>
      <c r="D22" s="191">
        <v>14</v>
      </c>
      <c r="E22" s="192"/>
      <c r="F22" s="192"/>
      <c r="G22" s="320">
        <f t="shared" si="1"/>
        <v>0</v>
      </c>
      <c r="H22" s="193"/>
      <c r="I22" s="219"/>
      <c r="J22" s="194"/>
      <c r="K22" s="320">
        <f t="shared" si="2"/>
        <v>0</v>
      </c>
      <c r="L22" s="195"/>
    </row>
    <row r="23" spans="1:12" ht="24.75" customHeight="1" x14ac:dyDescent="0.3">
      <c r="A23" s="86"/>
      <c r="B23" s="14"/>
      <c r="C23" s="87"/>
      <c r="D23" s="87"/>
      <c r="E23" s="88"/>
      <c r="F23" s="88"/>
      <c r="G23" s="89"/>
      <c r="H23" s="90"/>
      <c r="I23" s="90"/>
      <c r="J23" s="91"/>
      <c r="K23" s="91"/>
      <c r="L23" s="89"/>
    </row>
  </sheetData>
  <sheetProtection algorithmName="SHA-512" hashValue="BnIZL4XRkmHCawHensejKhXOzU1EaBo56HGzIBk4gu1ejqC6NBIUSvAl1IAv0tIHdKd10pDGTs16mMN+TNNfrg==" saltValue="EVbXQA+62Uwc6CPJHSLnxQ==" spinCount="100000" sheet="1" objects="1" scenarios="1"/>
  <mergeCells count="2">
    <mergeCell ref="I2:L2"/>
    <mergeCell ref="E2:H2"/>
  </mergeCells>
  <conditionalFormatting sqref="A1:I1">
    <cfRule type="containsText" dxfId="86" priority="1" operator="containsText" text="Ne pas">
      <formula>NOT(ISERROR(SEARCH("Ne pas",A1)))</formula>
    </cfRule>
  </conditionalFormatting>
  <pageMargins left="0.7" right="0.7" top="0.75" bottom="0.75" header="0.3" footer="0.3"/>
  <pageSetup paperSize="9" scale="29" orientation="portrait" r:id="rId1"/>
  <colBreaks count="1" manualBreakCount="1">
    <brk id="12" max="1048575" man="1"/>
  </colBreaks>
  <legacyDrawing r:id="rId2"/>
  <extLst>
    <ext xmlns:x14="http://schemas.microsoft.com/office/spreadsheetml/2009/9/main" uri="{CCE6A557-97BC-4b89-ADB6-D9C93CAAB3DF}">
      <x14:dataValidations xmlns:xm="http://schemas.microsoft.com/office/excel/2006/main" count="1">
        <x14:dataValidation type="custom" operator="notEqual" allowBlank="1" showInputMessage="1" showErrorMessage="1" errorTitle="Error" error="Vous avez séléctionné &quot;Journalier* dans l'onglet F0" xr:uid="{E3B5CBE5-8D1E-46B3-A827-E8049D0A57A0}">
          <x14:formula1>
            <xm:f>'F0 - Générales'!$B$6="Horaire"</xm:f>
          </x14:formula1>
          <xm:sqref>E4:L22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7D59F-6E71-4803-AF10-236FBB2762BA}">
  <sheetPr>
    <tabColor theme="9" tint="0.79998168889431442"/>
  </sheetPr>
  <dimension ref="A1:AA17"/>
  <sheetViews>
    <sheetView workbookViewId="0">
      <selection activeCell="H12" sqref="H12"/>
    </sheetView>
  </sheetViews>
  <sheetFormatPr defaultColWidth="11.44140625" defaultRowHeight="14.4" outlineLevelCol="1" x14ac:dyDescent="0.3"/>
  <cols>
    <col min="1" max="1" width="24.44140625" style="138" customWidth="1"/>
    <col min="2" max="2" width="10.33203125" style="138" hidden="1" customWidth="1" outlineLevel="1"/>
    <col min="3" max="3" width="19.6640625" style="138" customWidth="1" collapsed="1"/>
    <col min="4" max="4" width="12.6640625" style="138" customWidth="1"/>
    <col min="5" max="5" width="19.6640625" style="138" customWidth="1"/>
    <col min="6" max="7" width="12.6640625" style="138" customWidth="1"/>
    <col min="8" max="8" width="19.6640625" style="138" customWidth="1"/>
    <col min="9" max="10" width="20.6640625" style="138" customWidth="1"/>
    <col min="11" max="11" width="13.6640625" customWidth="1"/>
    <col min="12" max="13" width="12.44140625" style="138" customWidth="1"/>
    <col min="14" max="14" width="24" style="138" customWidth="1"/>
    <col min="15" max="25" width="12.33203125" style="138" customWidth="1"/>
    <col min="26" max="26" width="12.109375" style="138" customWidth="1"/>
    <col min="27" max="16384" width="11.44140625" style="138"/>
  </cols>
  <sheetData>
    <row r="1" spans="1:27" ht="21.6" thickBot="1" x14ac:dyDescent="0.35">
      <c r="A1" s="165" t="str">
        <f>IF('F0 - Générales'!$B$6="Horaire","F2 - Données facturation journalier pour l'année "&amp;Data!$B$4&amp;" - NE PAS RENSEIGNER CET ONGLET CAR VOUS AVEZ SELECTIONNE HORAIRE","F2 - Données facturation journalier pour l'année "&amp;Data!$B$4)</f>
        <v>F2 - Données facturation journalier pour l'année 2025</v>
      </c>
      <c r="B1" s="165"/>
      <c r="C1" s="165"/>
      <c r="D1" s="165"/>
      <c r="E1" s="165"/>
      <c r="F1" s="165"/>
      <c r="G1" s="165"/>
      <c r="H1" s="165"/>
      <c r="K1" s="418">
        <f>$C$13-ROUND('F1 - Infos compl J'!$E$19,2)</f>
        <v>0</v>
      </c>
      <c r="L1" s="520" t="str">
        <f>IF($K$1&lt;&gt;0,"Contrôle places proratisées à vérifier ❌","Contrôle places proratisées ok ✅")</f>
        <v>Contrôle places proratisées ok ✅</v>
      </c>
      <c r="M1" s="521"/>
      <c r="N1" s="522"/>
    </row>
    <row r="2" spans="1:27" ht="16.2" thickBot="1" x14ac:dyDescent="0.35">
      <c r="A2" s="15"/>
      <c r="B2" s="15"/>
      <c r="C2" s="244"/>
      <c r="D2" s="245"/>
      <c r="E2" s="245"/>
      <c r="G2" s="16"/>
      <c r="H2" s="16"/>
      <c r="I2" s="16"/>
      <c r="J2" s="29"/>
      <c r="K2" s="65"/>
      <c r="L2" s="462"/>
      <c r="M2" s="462"/>
      <c r="N2" s="462"/>
      <c r="U2" s="95"/>
    </row>
    <row r="3" spans="1:27" ht="18.600000000000001" thickBot="1" x14ac:dyDescent="0.35">
      <c r="C3" s="516" t="s">
        <v>333</v>
      </c>
      <c r="D3" s="517"/>
      <c r="E3" s="517"/>
      <c r="F3" s="517"/>
      <c r="G3" s="517"/>
      <c r="H3" s="517"/>
      <c r="I3" s="518" t="s">
        <v>489</v>
      </c>
      <c r="J3" s="519"/>
      <c r="S3" s="221"/>
      <c r="T3" s="221"/>
    </row>
    <row r="4" spans="1:27" ht="58.2" thickBot="1" x14ac:dyDescent="0.35">
      <c r="A4" s="233" t="s">
        <v>113</v>
      </c>
      <c r="B4" s="422" t="s">
        <v>113</v>
      </c>
      <c r="C4" s="246" t="s">
        <v>496</v>
      </c>
      <c r="D4" s="236" t="s">
        <v>497</v>
      </c>
      <c r="E4" s="236" t="s">
        <v>348</v>
      </c>
      <c r="F4" s="236" t="s">
        <v>347</v>
      </c>
      <c r="G4" s="236" t="s">
        <v>120</v>
      </c>
      <c r="H4" s="257" t="s">
        <v>479</v>
      </c>
      <c r="I4" s="237" t="s">
        <v>348</v>
      </c>
      <c r="J4" s="238" t="s">
        <v>479</v>
      </c>
      <c r="L4" s="240" t="s">
        <v>344</v>
      </c>
      <c r="M4" s="241" t="s">
        <v>326</v>
      </c>
      <c r="N4" s="241" t="s">
        <v>346</v>
      </c>
      <c r="O4" s="241" t="s">
        <v>421</v>
      </c>
      <c r="P4" s="247" t="s">
        <v>253</v>
      </c>
      <c r="S4" s="221"/>
      <c r="T4" s="221"/>
      <c r="X4" s="222"/>
    </row>
    <row r="5" spans="1:27" x14ac:dyDescent="0.3">
      <c r="A5" s="234" t="s">
        <v>114</v>
      </c>
      <c r="B5" s="423" t="s">
        <v>340</v>
      </c>
      <c r="C5" s="249"/>
      <c r="D5" s="402">
        <f>$C5*Data!$B$5</f>
        <v>0</v>
      </c>
      <c r="E5" s="250"/>
      <c r="F5" s="402">
        <f>$E5/Data!$B$5</f>
        <v>0</v>
      </c>
      <c r="G5" s="476" t="str">
        <f>IF(OR($D5="",$D5=0),"",$E5/$D5)</f>
        <v/>
      </c>
      <c r="H5" s="258"/>
      <c r="I5" s="262"/>
      <c r="J5" s="263"/>
      <c r="L5" s="232" t="s">
        <v>167</v>
      </c>
      <c r="M5" s="242" t="str">
        <f>_xlfn.XLOOKUP($L5,Table6[Equivalent matrice],Table6[Activité])</f>
        <v>Base/Ortho</v>
      </c>
      <c r="N5" s="248" t="str">
        <f>_xlfn.XLOOKUP($L5,Table6[Equivalent matrice],Table6[Descriptif])</f>
        <v>Accueil socio-éducatif</v>
      </c>
      <c r="O5" s="209" t="e" cm="1">
        <f t="array" ref="O5">SUM((Data!$BA$4:$BN$16)*($L5=Data!$AZ$4:$AZ$16)*(_xlfn.XLOOKUP('F0 - Générales'!$B$7,Table6[Activité],Table6[Equivalent matrice])=Data!$BA$3:$BN$3))</f>
        <v>#N/A</v>
      </c>
      <c r="P5" s="230" t="e">
        <f>$O5*SUMIFS($E:$E,$A:$A,_xlfn.XLOOKUP($L5,Table6[Equivalent matrice],Table6[Descriptif]))</f>
        <v>#N/A</v>
      </c>
      <c r="S5" s="221"/>
      <c r="T5" s="221"/>
      <c r="X5" s="222"/>
    </row>
    <row r="6" spans="1:27" x14ac:dyDescent="0.3">
      <c r="A6" s="243" t="s">
        <v>115</v>
      </c>
      <c r="B6" s="424" t="s">
        <v>237</v>
      </c>
      <c r="C6" s="251"/>
      <c r="D6" s="403">
        <f>$C6*Data!$B$5</f>
        <v>0</v>
      </c>
      <c r="E6" s="252"/>
      <c r="F6" s="403">
        <f>$E6/Data!$B$5</f>
        <v>0</v>
      </c>
      <c r="G6" s="477" t="str">
        <f t="shared" ref="G6:G13" si="0">IF(OR($D6="",$D6=0),"",$E6/$D6)</f>
        <v/>
      </c>
      <c r="H6" s="259"/>
      <c r="I6" s="264"/>
      <c r="J6" s="265"/>
      <c r="L6" s="232" t="s">
        <v>168</v>
      </c>
      <c r="M6" s="242" t="str">
        <f>_xlfn.XLOOKUP($L6,Table6[Equivalent matrice],Table6[Activité])</f>
        <v>Ortho/Psycho</v>
      </c>
      <c r="N6" s="248" t="str">
        <f>_xlfn.XLOOKUP($L6,Table6[Equivalent matrice],Table6[Descriptif])</f>
        <v>Accueil orthopédagogique</v>
      </c>
      <c r="O6" s="209" t="e" cm="1">
        <f t="array" ref="O6">SUM((Data!$BA$4:$BN$16)*($L6=Data!$AZ$4:$AZ$16)*(_xlfn.XLOOKUP('F0 - Générales'!$B$7,Table6[Activité],Table6[Equivalent matrice])=Data!$BA$3:$BN$3))</f>
        <v>#N/A</v>
      </c>
      <c r="P6" s="230" t="e">
        <f>$O6*SUMIFS($E:$E,$A:$A,_xlfn.XLOOKUP($L6,Table6[Equivalent matrice],Table6[Descriptif]))</f>
        <v>#N/A</v>
      </c>
      <c r="S6" s="221"/>
      <c r="T6" s="221"/>
      <c r="X6" s="222"/>
    </row>
    <row r="7" spans="1:27" ht="28.8" x14ac:dyDescent="0.3">
      <c r="A7" s="235" t="s">
        <v>116</v>
      </c>
      <c r="B7" s="425" t="s">
        <v>110</v>
      </c>
      <c r="C7" s="253"/>
      <c r="D7" s="404">
        <f>$C7*Data!$B$5</f>
        <v>0</v>
      </c>
      <c r="E7" s="254"/>
      <c r="F7" s="404">
        <f>$E7/Data!$B$5</f>
        <v>0</v>
      </c>
      <c r="G7" s="478" t="str">
        <f t="shared" si="0"/>
        <v/>
      </c>
      <c r="H7" s="260"/>
      <c r="I7" s="266"/>
      <c r="J7" s="267"/>
      <c r="L7" s="232" t="s">
        <v>110</v>
      </c>
      <c r="M7" s="242" t="str">
        <f>_xlfn.XLOOKUP($L7,Table6[Equivalent matrice],Table6[Activité])</f>
        <v>Psycho</v>
      </c>
      <c r="N7" s="248" t="str">
        <f>_xlfn.XLOOKUP($L7,Table6[Equivalent matrice],Table6[Descriptif])</f>
        <v>Accueil psychothérapeutique</v>
      </c>
      <c r="O7" s="209" t="e" cm="1">
        <f t="array" ref="O7">SUM((Data!$BA$4:$BN$16)*($L7=Data!$AZ$4:$AZ$16)*(_xlfn.XLOOKUP('F0 - Générales'!$B$7,Table6[Activité],Table6[Equivalent matrice])=Data!$BA$3:$BN$3))</f>
        <v>#N/A</v>
      </c>
      <c r="P7" s="230" t="e">
        <f>$O7*SUMIFS($E:$E,$A:$A,_xlfn.XLOOKUP($L7,Table6[Equivalent matrice],Table6[Descriptif]))</f>
        <v>#N/A</v>
      </c>
      <c r="S7" s="221"/>
      <c r="T7" s="221"/>
      <c r="X7" s="222"/>
    </row>
    <row r="8" spans="1:27" x14ac:dyDescent="0.3">
      <c r="A8" s="235" t="s">
        <v>345</v>
      </c>
      <c r="B8" s="425" t="s">
        <v>112</v>
      </c>
      <c r="C8" s="253"/>
      <c r="D8" s="404">
        <f>$C8*Data!$B$5</f>
        <v>0</v>
      </c>
      <c r="E8" s="254"/>
      <c r="F8" s="404">
        <f>$E8/Data!$B$5</f>
        <v>0</v>
      </c>
      <c r="G8" s="478" t="str">
        <f t="shared" si="0"/>
        <v/>
      </c>
      <c r="H8" s="260"/>
      <c r="I8" s="266"/>
      <c r="J8" s="267"/>
      <c r="L8" s="232" t="s">
        <v>112</v>
      </c>
      <c r="M8" s="242" t="str">
        <f>_xlfn.XLOOKUP($L8,Table6[Equivalent matrice],Table6[Activité])</f>
        <v>0-3 ans</v>
      </c>
      <c r="N8" s="248" t="str">
        <f>_xlfn.XLOOKUP($L8,Table6[Equivalent matrice],Table6[Descriptif])</f>
        <v>Accueil 0-3 ans</v>
      </c>
      <c r="O8" s="209" t="e" cm="1">
        <f t="array" ref="O8">SUM((Data!$BA$4:$BN$16)*($L8=Data!$AZ$4:$AZ$16)*(_xlfn.XLOOKUP('F0 - Générales'!$B$7,Table6[Activité],Table6[Equivalent matrice])=Data!$BA$3:$BN$3))</f>
        <v>#N/A</v>
      </c>
      <c r="P8" s="230" t="e">
        <f>$O8*SUMIFS($E:$E,$A:$A,_xlfn.XLOOKUP($L8,Table6[Equivalent matrice],Table6[Descriptif]))</f>
        <v>#N/A</v>
      </c>
      <c r="S8" s="221"/>
      <c r="T8" s="221"/>
      <c r="X8" s="222"/>
    </row>
    <row r="9" spans="1:27" ht="43.2" x14ac:dyDescent="0.3">
      <c r="A9" s="235" t="s">
        <v>117</v>
      </c>
      <c r="B9" s="425" t="s">
        <v>111</v>
      </c>
      <c r="C9" s="253"/>
      <c r="D9" s="404">
        <f>$C9*Data!$B$5</f>
        <v>0</v>
      </c>
      <c r="E9" s="254"/>
      <c r="F9" s="404">
        <f>$E9/Data!$B$5</f>
        <v>0</v>
      </c>
      <c r="G9" s="478" t="str">
        <f t="shared" si="0"/>
        <v/>
      </c>
      <c r="H9" s="260"/>
      <c r="I9" s="266"/>
      <c r="J9" s="267"/>
      <c r="L9" s="232" t="s">
        <v>111</v>
      </c>
      <c r="M9" s="242" t="str">
        <f>_xlfn.XLOOKUP($L9,Table6[Equivalent matrice],Table6[Activité])</f>
        <v>AUSC</v>
      </c>
      <c r="N9" s="248" t="str">
        <f>_xlfn.XLOOKUP($L9,Table6[Equivalent matrice],Table6[Descriptif])</f>
        <v>Accueil urgent en situation de crise psychosociale aiguë</v>
      </c>
      <c r="O9" s="209" t="e" cm="1">
        <f t="array" ref="O9">SUM((Data!$BA$4:$BN$16)*($L9=Data!$AZ$4:$AZ$16)*(_xlfn.XLOOKUP('F0 - Générales'!$B$7,Table6[Activité],Table6[Equivalent matrice])=Data!$BA$3:$BN$3))</f>
        <v>#N/A</v>
      </c>
      <c r="P9" s="230" t="e">
        <f>$O9*SUMIFS($E:$E,$A:$A,_xlfn.XLOOKUP($L9,Table6[Equivalent matrice],Table6[Descriptif]))</f>
        <v>#N/A</v>
      </c>
      <c r="S9" s="221"/>
      <c r="T9" s="221"/>
    </row>
    <row r="10" spans="1:27" x14ac:dyDescent="0.3">
      <c r="A10" s="235" t="s">
        <v>229</v>
      </c>
      <c r="B10" s="425" t="s">
        <v>229</v>
      </c>
      <c r="C10" s="253"/>
      <c r="D10" s="404">
        <f>$C10*Data!$B$5</f>
        <v>0</v>
      </c>
      <c r="E10" s="254"/>
      <c r="F10" s="404">
        <f>$E10/Data!$B$5</f>
        <v>0</v>
      </c>
      <c r="G10" s="478" t="str">
        <f t="shared" si="0"/>
        <v/>
      </c>
      <c r="H10" s="260"/>
      <c r="I10" s="266"/>
      <c r="J10" s="267"/>
      <c r="L10" s="232" t="s">
        <v>229</v>
      </c>
      <c r="M10" s="242" t="str">
        <f>_xlfn.XLOOKUP($L10,Table6[Equivalent matrice],Table6[Activité])</f>
        <v>Petit groupe</v>
      </c>
      <c r="N10" s="248" t="str">
        <f>_xlfn.XLOOKUP($L10,Table6[Equivalent matrice],Table6[Descriptif])</f>
        <v>Petit groupe</v>
      </c>
      <c r="O10" s="209" t="e" cm="1">
        <f t="array" ref="O10">SUM((Data!$BA$4:$BN$16)*($L10=Data!$AZ$4:$AZ$16)*(_xlfn.XLOOKUP('F0 - Générales'!$B$7,Table6[Activité],Table6[Equivalent matrice])=Data!$BA$3:$BN$3))</f>
        <v>#N/A</v>
      </c>
      <c r="P10" s="230" t="e">
        <f>$O10*SUMIFS($E:$E,$A:$A,_xlfn.XLOOKUP($L10,Table6[Equivalent matrice],Table6[Descriptif]))</f>
        <v>#N/A</v>
      </c>
      <c r="S10" s="221"/>
      <c r="T10" s="221"/>
    </row>
    <row r="11" spans="1:27" ht="15" thickBot="1" x14ac:dyDescent="0.35">
      <c r="A11" s="235" t="s">
        <v>118</v>
      </c>
      <c r="B11" s="425" t="s">
        <v>118</v>
      </c>
      <c r="C11" s="253"/>
      <c r="D11" s="404">
        <f>$C11*Data!$B$5</f>
        <v>0</v>
      </c>
      <c r="E11" s="254"/>
      <c r="F11" s="404">
        <f>$E11/Data!$B$5</f>
        <v>0</v>
      </c>
      <c r="G11" s="478" t="str">
        <f t="shared" si="0"/>
        <v/>
      </c>
      <c r="H11" s="260"/>
      <c r="I11" s="266"/>
      <c r="J11" s="267"/>
      <c r="L11" s="215" t="s">
        <v>46</v>
      </c>
      <c r="M11" s="216"/>
      <c r="N11" s="327"/>
      <c r="O11" s="216"/>
      <c r="P11" s="231" t="e">
        <f>SUM(P5:P10)</f>
        <v>#N/A</v>
      </c>
      <c r="S11" s="221"/>
      <c r="T11" s="221"/>
    </row>
    <row r="12" spans="1:27" ht="15" thickBot="1" x14ac:dyDescent="0.35">
      <c r="A12" s="238" t="s">
        <v>119</v>
      </c>
      <c r="B12" s="426" t="s">
        <v>119</v>
      </c>
      <c r="C12" s="255"/>
      <c r="D12" s="405">
        <f>$C12*Data!$B$5</f>
        <v>0</v>
      </c>
      <c r="E12" s="256"/>
      <c r="F12" s="405">
        <f>$E12/Data!$B$5</f>
        <v>0</v>
      </c>
      <c r="G12" s="479" t="str">
        <f t="shared" si="0"/>
        <v/>
      </c>
      <c r="H12" s="261"/>
      <c r="I12" s="268"/>
      <c r="J12" s="269"/>
      <c r="S12" s="221"/>
      <c r="T12" s="221"/>
    </row>
    <row r="13" spans="1:27" ht="29.4" thickBot="1" x14ac:dyDescent="0.35">
      <c r="A13" s="239" t="s">
        <v>46</v>
      </c>
      <c r="B13" s="427" t="s">
        <v>46</v>
      </c>
      <c r="C13" s="411">
        <f t="shared" ref="C13:J13" si="1">SUM(C5:C12)</f>
        <v>0</v>
      </c>
      <c r="D13" s="406">
        <f t="shared" si="1"/>
        <v>0</v>
      </c>
      <c r="E13" s="410">
        <f>SUM(E5:E12)</f>
        <v>0</v>
      </c>
      <c r="F13" s="406">
        <f t="shared" si="1"/>
        <v>0</v>
      </c>
      <c r="G13" s="480" t="str">
        <f t="shared" si="0"/>
        <v/>
      </c>
      <c r="H13" s="407">
        <f t="shared" si="1"/>
        <v>0</v>
      </c>
      <c r="I13" s="408">
        <f t="shared" si="1"/>
        <v>0</v>
      </c>
      <c r="J13" s="409">
        <f t="shared" si="1"/>
        <v>0</v>
      </c>
      <c r="L13" s="240" t="s">
        <v>344</v>
      </c>
      <c r="M13" s="241" t="s">
        <v>326</v>
      </c>
      <c r="N13" s="241" t="s">
        <v>346</v>
      </c>
      <c r="O13" s="241" t="s">
        <v>254</v>
      </c>
      <c r="P13" s="247" t="s">
        <v>253</v>
      </c>
      <c r="S13" s="221"/>
      <c r="T13" s="221"/>
    </row>
    <row r="14" spans="1:27" x14ac:dyDescent="0.3">
      <c r="L14" s="232" t="s">
        <v>118</v>
      </c>
      <c r="M14" s="242" t="s">
        <v>118</v>
      </c>
      <c r="N14" s="248" t="s">
        <v>118</v>
      </c>
      <c r="O14" s="209" cm="1">
        <f t="array" ref="O14">IFERROR(SUM((E5:E13)*(A5:A13=$M14))*SUM((RDP_Effectif[ETP après déduction des h de maladie])*(RDP_Effectif[Affectation]="Encadrement"))/Data!$B$5,0)</f>
        <v>0</v>
      </c>
      <c r="P14" s="230">
        <f>$O14*SUMIFS($E:$E,$A:$A,_xlfn.XLOOKUP($L14,Table6[Equivalent matrice],Table6[Descriptif]))</f>
        <v>0</v>
      </c>
      <c r="Q14" s="221"/>
      <c r="R14" s="221"/>
    </row>
    <row r="15" spans="1:27" x14ac:dyDescent="0.3">
      <c r="L15" s="232" t="s">
        <v>119</v>
      </c>
      <c r="M15" s="242" t="s">
        <v>119</v>
      </c>
      <c r="N15" s="248" t="s">
        <v>119</v>
      </c>
      <c r="O15" s="209" cm="1">
        <f t="array" ref="O15">IFERROR(SUM((E6:E14)*(A6:A14=$M15))*SUM((RDP_Effectif[ETP après déduction des h de maladie])*(RDP_Effectif[Affectation]="Encadrement"))/Data!$B$5,0)</f>
        <v>0</v>
      </c>
      <c r="P15" s="230">
        <f>$O15*SUMIFS($E:$E,$A:$A,_xlfn.XLOOKUP($L15,Table6[Equivalent matrice],Table6[Descriptif]))</f>
        <v>0</v>
      </c>
      <c r="Q15" s="221"/>
      <c r="R15" s="221"/>
      <c r="S15" s="221"/>
      <c r="T15" s="221"/>
      <c r="U15" s="221"/>
      <c r="V15" s="221"/>
      <c r="W15" s="221"/>
      <c r="X15" s="221"/>
      <c r="Y15" s="221"/>
      <c r="Z15" s="221"/>
      <c r="AA15" s="221"/>
    </row>
    <row r="16" spans="1:27" ht="15" thickBot="1" x14ac:dyDescent="0.35">
      <c r="L16" s="215" t="s">
        <v>46</v>
      </c>
      <c r="M16" s="216"/>
      <c r="N16" s="327"/>
      <c r="O16" s="216"/>
      <c r="P16" s="231">
        <f>SUM(P14:P15)</f>
        <v>0</v>
      </c>
      <c r="Q16" s="221"/>
      <c r="R16" s="221"/>
      <c r="S16" s="221"/>
      <c r="T16" s="221"/>
      <c r="U16" s="221"/>
      <c r="V16" s="221"/>
      <c r="W16" s="221"/>
      <c r="X16" s="221"/>
      <c r="Y16" s="221"/>
      <c r="Z16" s="221"/>
      <c r="AA16" s="221"/>
    </row>
    <row r="17" spans="17:27" ht="48" customHeight="1" x14ac:dyDescent="0.3">
      <c r="Q17" s="221"/>
      <c r="R17" s="221"/>
      <c r="S17" s="221"/>
      <c r="T17" s="221"/>
      <c r="U17" s="221"/>
      <c r="V17" s="221"/>
      <c r="W17" s="221"/>
      <c r="X17" s="221"/>
      <c r="Y17" s="221"/>
      <c r="Z17" s="221"/>
      <c r="AA17" s="221"/>
    </row>
  </sheetData>
  <sheetProtection algorithmName="SHA-512" hashValue="fkJr1VUN19zNiaqK0+X78xQ8JJjrTR4AXLfSSgFUijpqYRwoc0lrUaVKai/DDN1DTW3IgWYN353629Db/4vpPQ==" saltValue="laDuuni/gi5cSH2+1sisLA==" spinCount="100000" sheet="1" objects="1" scenarios="1"/>
  <mergeCells count="3">
    <mergeCell ref="C3:H3"/>
    <mergeCell ref="I3:J3"/>
    <mergeCell ref="L1:N1"/>
  </mergeCells>
  <conditionalFormatting sqref="A1:H1">
    <cfRule type="containsText" dxfId="85" priority="3" operator="containsText" text="Ne pas">
      <formula>NOT(ISERROR(SEARCH("Ne pas",A1)))</formula>
    </cfRule>
  </conditionalFormatting>
  <conditionalFormatting sqref="L1:N1">
    <cfRule type="containsText" dxfId="84" priority="1" operator="containsText" text="vérifier">
      <formula>NOT(ISERROR(SEARCH("vérifier",L1)))</formula>
    </cfRule>
    <cfRule type="containsText" dxfId="83" priority="2" operator="containsText" text="ok">
      <formula>NOT(ISERROR(SEARCH("ok",L1)))</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custom" operator="notEqual" allowBlank="1" showInputMessage="1" showErrorMessage="1" errorTitle="Error" error="Vous avez séléctionné &quot;Horaire* dans l'onglet F0" xr:uid="{91263EE2-6E52-47E0-B3F7-8AD91C49F9BF}">
          <x14:formula1>
            <xm:f>'F0 - Générales'!$B$6="Journalier"</xm:f>
          </x14:formula1>
          <xm:sqref>C5:J13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pageSetUpPr fitToPage="1"/>
  </sheetPr>
  <dimension ref="A2:AMJ30"/>
  <sheetViews>
    <sheetView workbookViewId="0">
      <selection activeCell="A34" sqref="A34"/>
    </sheetView>
  </sheetViews>
  <sheetFormatPr defaultColWidth="12.5546875" defaultRowHeight="14.4" x14ac:dyDescent="0.3"/>
  <cols>
    <col min="1" max="11" width="11.88671875" style="38" customWidth="1"/>
    <col min="12" max="1024" width="12.33203125" style="38" customWidth="1"/>
    <col min="1025" max="16384" width="12.5546875" style="52"/>
  </cols>
  <sheetData>
    <row r="2" spans="1:11" ht="25.8" x14ac:dyDescent="0.5">
      <c r="A2" s="35" t="s">
        <v>181</v>
      </c>
      <c r="B2" s="36"/>
      <c r="C2" s="36"/>
      <c r="D2" s="36"/>
      <c r="E2" s="36"/>
      <c r="F2" s="36"/>
      <c r="G2" s="37"/>
      <c r="H2" s="37"/>
      <c r="I2" s="36"/>
      <c r="J2" s="36"/>
      <c r="K2" s="36"/>
    </row>
    <row r="3" spans="1:11" x14ac:dyDescent="0.3">
      <c r="A3" s="38" t="s">
        <v>182</v>
      </c>
      <c r="G3" s="39" t="s">
        <v>183</v>
      </c>
      <c r="H3" s="39"/>
    </row>
    <row r="4" spans="1:11" x14ac:dyDescent="0.3">
      <c r="A4" s="40" t="s">
        <v>184</v>
      </c>
      <c r="B4" s="40" t="s">
        <v>185</v>
      </c>
      <c r="C4" s="41"/>
      <c r="D4" s="42" t="s">
        <v>186</v>
      </c>
      <c r="E4" s="41"/>
      <c r="G4" s="40" t="s">
        <v>184</v>
      </c>
      <c r="H4" s="40" t="s">
        <v>185</v>
      </c>
      <c r="I4" s="41"/>
      <c r="J4" s="42" t="s">
        <v>186</v>
      </c>
      <c r="K4" s="41"/>
    </row>
    <row r="5" spans="1:11" x14ac:dyDescent="0.3">
      <c r="A5" s="43">
        <v>45658</v>
      </c>
      <c r="B5" s="43">
        <v>45739</v>
      </c>
      <c r="C5" s="44">
        <f>IF(B5="",0,B5-A5+1)</f>
        <v>82</v>
      </c>
      <c r="D5" s="45">
        <v>0.5</v>
      </c>
      <c r="E5" s="46">
        <f>+C5*D5</f>
        <v>41</v>
      </c>
      <c r="G5" s="43">
        <v>45658</v>
      </c>
      <c r="H5" s="43">
        <v>45808</v>
      </c>
      <c r="I5" s="44">
        <f t="shared" ref="I5:I15" si="0">IF(H5="",0,H5-G5+1)</f>
        <v>151</v>
      </c>
      <c r="J5" s="45">
        <v>0</v>
      </c>
      <c r="K5" s="46">
        <f t="shared" ref="K5:K15" si="1">+I5*J5</f>
        <v>0</v>
      </c>
    </row>
    <row r="6" spans="1:11" x14ac:dyDescent="0.3">
      <c r="A6" s="43">
        <v>45740</v>
      </c>
      <c r="B6" s="43">
        <v>45802</v>
      </c>
      <c r="C6" s="44">
        <f t="shared" ref="C6:C15" si="2">IF(B6="",0,B6-A6+1)</f>
        <v>63</v>
      </c>
      <c r="D6" s="45">
        <v>0</v>
      </c>
      <c r="E6" s="46">
        <f t="shared" ref="E6:E15" si="3">+C6*D6</f>
        <v>0</v>
      </c>
      <c r="G6" s="43">
        <v>45809</v>
      </c>
      <c r="H6" s="43">
        <v>46022</v>
      </c>
      <c r="I6" s="44">
        <f t="shared" si="0"/>
        <v>214</v>
      </c>
      <c r="J6" s="45">
        <v>0.75</v>
      </c>
      <c r="K6" s="46">
        <f t="shared" si="1"/>
        <v>160.5</v>
      </c>
    </row>
    <row r="7" spans="1:11" x14ac:dyDescent="0.3">
      <c r="A7" s="43">
        <v>45803</v>
      </c>
      <c r="B7" s="43">
        <v>46022</v>
      </c>
      <c r="C7" s="44">
        <f t="shared" si="2"/>
        <v>220</v>
      </c>
      <c r="D7" s="45">
        <v>1</v>
      </c>
      <c r="E7" s="46">
        <f t="shared" si="3"/>
        <v>220</v>
      </c>
      <c r="G7" s="43"/>
      <c r="H7" s="43"/>
      <c r="I7" s="44">
        <f t="shared" si="0"/>
        <v>0</v>
      </c>
      <c r="J7" s="45"/>
      <c r="K7" s="46">
        <f t="shared" si="1"/>
        <v>0</v>
      </c>
    </row>
    <row r="8" spans="1:11" x14ac:dyDescent="0.3">
      <c r="A8" s="47"/>
      <c r="B8" s="47"/>
      <c r="C8" s="44">
        <f t="shared" si="2"/>
        <v>0</v>
      </c>
      <c r="D8" s="45"/>
      <c r="E8" s="46">
        <f t="shared" si="3"/>
        <v>0</v>
      </c>
      <c r="G8" s="47"/>
      <c r="H8" s="47"/>
      <c r="I8" s="44">
        <f t="shared" si="0"/>
        <v>0</v>
      </c>
      <c r="J8" s="45"/>
      <c r="K8" s="46">
        <f t="shared" si="1"/>
        <v>0</v>
      </c>
    </row>
    <row r="9" spans="1:11" x14ac:dyDescent="0.3">
      <c r="A9" s="47"/>
      <c r="B9" s="47"/>
      <c r="C9" s="44">
        <f t="shared" si="2"/>
        <v>0</v>
      </c>
      <c r="D9" s="45"/>
      <c r="E9" s="46">
        <f t="shared" si="3"/>
        <v>0</v>
      </c>
      <c r="G9" s="47"/>
      <c r="H9" s="47"/>
      <c r="I9" s="44">
        <f t="shared" si="0"/>
        <v>0</v>
      </c>
      <c r="J9" s="45"/>
      <c r="K9" s="46">
        <f t="shared" si="1"/>
        <v>0</v>
      </c>
    </row>
    <row r="10" spans="1:11" x14ac:dyDescent="0.3">
      <c r="A10" s="47"/>
      <c r="B10" s="47"/>
      <c r="C10" s="44">
        <f t="shared" si="2"/>
        <v>0</v>
      </c>
      <c r="D10" s="45"/>
      <c r="E10" s="46">
        <f t="shared" si="3"/>
        <v>0</v>
      </c>
      <c r="G10" s="47"/>
      <c r="H10" s="47"/>
      <c r="I10" s="44">
        <f t="shared" si="0"/>
        <v>0</v>
      </c>
      <c r="J10" s="45"/>
      <c r="K10" s="46">
        <f t="shared" si="1"/>
        <v>0</v>
      </c>
    </row>
    <row r="11" spans="1:11" x14ac:dyDescent="0.3">
      <c r="A11" s="47"/>
      <c r="B11" s="47"/>
      <c r="C11" s="44">
        <f t="shared" si="2"/>
        <v>0</v>
      </c>
      <c r="D11" s="45"/>
      <c r="E11" s="46">
        <f t="shared" si="3"/>
        <v>0</v>
      </c>
      <c r="G11" s="47"/>
      <c r="H11" s="47"/>
      <c r="I11" s="44">
        <f t="shared" si="0"/>
        <v>0</v>
      </c>
      <c r="J11" s="45"/>
      <c r="K11" s="46">
        <f t="shared" si="1"/>
        <v>0</v>
      </c>
    </row>
    <row r="12" spans="1:11" x14ac:dyDescent="0.3">
      <c r="A12" s="47"/>
      <c r="B12" s="47"/>
      <c r="C12" s="44">
        <f t="shared" si="2"/>
        <v>0</v>
      </c>
      <c r="D12" s="45"/>
      <c r="E12" s="46">
        <f t="shared" si="3"/>
        <v>0</v>
      </c>
      <c r="G12" s="47"/>
      <c r="H12" s="47"/>
      <c r="I12" s="44">
        <f t="shared" si="0"/>
        <v>0</v>
      </c>
      <c r="J12" s="45"/>
      <c r="K12" s="46">
        <f t="shared" si="1"/>
        <v>0</v>
      </c>
    </row>
    <row r="13" spans="1:11" x14ac:dyDescent="0.3">
      <c r="A13" s="47"/>
      <c r="B13" s="47"/>
      <c r="C13" s="44">
        <f t="shared" si="2"/>
        <v>0</v>
      </c>
      <c r="D13" s="45"/>
      <c r="E13" s="46">
        <f t="shared" si="3"/>
        <v>0</v>
      </c>
      <c r="G13" s="47"/>
      <c r="H13" s="47"/>
      <c r="I13" s="44">
        <f t="shared" si="0"/>
        <v>0</v>
      </c>
      <c r="J13" s="45"/>
      <c r="K13" s="46">
        <f t="shared" si="1"/>
        <v>0</v>
      </c>
    </row>
    <row r="14" spans="1:11" x14ac:dyDescent="0.3">
      <c r="A14" s="47"/>
      <c r="B14" s="47"/>
      <c r="C14" s="44">
        <f t="shared" si="2"/>
        <v>0</v>
      </c>
      <c r="D14" s="45"/>
      <c r="E14" s="46">
        <f t="shared" si="3"/>
        <v>0</v>
      </c>
      <c r="G14" s="47"/>
      <c r="H14" s="47"/>
      <c r="I14" s="44">
        <f t="shared" si="0"/>
        <v>0</v>
      </c>
      <c r="J14" s="45"/>
      <c r="K14" s="46">
        <f t="shared" si="1"/>
        <v>0</v>
      </c>
    </row>
    <row r="15" spans="1:11" x14ac:dyDescent="0.3">
      <c r="A15" s="47"/>
      <c r="B15" s="47"/>
      <c r="C15" s="44">
        <f t="shared" si="2"/>
        <v>0</v>
      </c>
      <c r="D15" s="45"/>
      <c r="E15" s="46">
        <f t="shared" si="3"/>
        <v>0</v>
      </c>
      <c r="G15" s="47"/>
      <c r="H15" s="47"/>
      <c r="I15" s="44">
        <f t="shared" si="0"/>
        <v>0</v>
      </c>
      <c r="J15" s="45"/>
      <c r="K15" s="46">
        <f t="shared" si="1"/>
        <v>0</v>
      </c>
    </row>
    <row r="16" spans="1:11" x14ac:dyDescent="0.3">
      <c r="G16" s="39"/>
      <c r="H16" s="39"/>
    </row>
    <row r="17" spans="2:11" x14ac:dyDescent="0.3">
      <c r="B17" s="48" t="s">
        <v>46</v>
      </c>
      <c r="C17" s="49">
        <f>SUM(C5:C15)</f>
        <v>365</v>
      </c>
      <c r="E17" s="49">
        <f>SUM(E5:E15)</f>
        <v>261</v>
      </c>
      <c r="G17" s="39"/>
      <c r="H17" s="48" t="s">
        <v>46</v>
      </c>
      <c r="I17" s="49">
        <f>SUM(I5:I15)</f>
        <v>365</v>
      </c>
      <c r="K17" s="49">
        <f>SUM(K5:K15)</f>
        <v>160.5</v>
      </c>
    </row>
    <row r="18" spans="2:11" x14ac:dyDescent="0.3">
      <c r="G18" s="39"/>
      <c r="H18" s="39"/>
    </row>
    <row r="19" spans="2:11" x14ac:dyDescent="0.3">
      <c r="E19" s="50" t="s">
        <v>45</v>
      </c>
      <c r="G19" s="39"/>
      <c r="H19" s="39"/>
      <c r="K19" s="50" t="s">
        <v>45</v>
      </c>
    </row>
    <row r="20" spans="2:11" x14ac:dyDescent="0.3">
      <c r="E20" s="51">
        <f>+E17/C17</f>
        <v>0.71506849315068488</v>
      </c>
      <c r="G20" s="39"/>
      <c r="H20" s="39"/>
      <c r="K20" s="51">
        <f>+K17/I17</f>
        <v>0.4397260273972603</v>
      </c>
    </row>
    <row r="21" spans="2:11" x14ac:dyDescent="0.3">
      <c r="G21" s="39"/>
      <c r="H21" s="39"/>
    </row>
    <row r="22" spans="2:11" x14ac:dyDescent="0.3">
      <c r="G22" s="39"/>
      <c r="H22" s="39"/>
    </row>
    <row r="23" spans="2:11" x14ac:dyDescent="0.3">
      <c r="G23" s="39"/>
      <c r="H23" s="39"/>
    </row>
    <row r="24" spans="2:11" x14ac:dyDescent="0.3">
      <c r="G24" s="39"/>
      <c r="H24" s="39"/>
    </row>
    <row r="25" spans="2:11" x14ac:dyDescent="0.3">
      <c r="G25" s="39"/>
      <c r="H25" s="39"/>
    </row>
    <row r="26" spans="2:11" x14ac:dyDescent="0.3">
      <c r="G26" s="39"/>
      <c r="H26" s="39"/>
    </row>
    <row r="27" spans="2:11" x14ac:dyDescent="0.3">
      <c r="G27" s="39"/>
      <c r="H27" s="39"/>
    </row>
    <row r="28" spans="2:11" x14ac:dyDescent="0.3">
      <c r="G28" s="39"/>
      <c r="H28" s="39"/>
    </row>
    <row r="29" spans="2:11" x14ac:dyDescent="0.3">
      <c r="G29" s="39"/>
      <c r="H29" s="39"/>
    </row>
    <row r="30" spans="2:11" x14ac:dyDescent="0.3">
      <c r="G30" s="39"/>
      <c r="H30" s="39"/>
    </row>
  </sheetData>
  <printOptions horizontalCentered="1" headings="1"/>
  <pageMargins left="0.3543307086614173" right="0.3543307086614173" top="0.86574803149606305" bottom="0.6393700787401575" header="0.47204724409448823" footer="0.15748031496062992"/>
  <pageSetup paperSize="9" scale="82" orientation="landscape" r:id="rId1"/>
  <headerFooter alignWithMargins="0">
    <oddFooter>&amp;L&amp;"Calibri,Regular"&amp;K000000&amp;F/&amp;A&amp;R&amp;"Calibri,Regular"&amp;K000000Date d'impression : &amp;D
Page &amp;P sur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79998168889431442"/>
    <pageSetUpPr fitToPage="1"/>
  </sheetPr>
  <dimension ref="A1:AMJ308"/>
  <sheetViews>
    <sheetView workbookViewId="0"/>
  </sheetViews>
  <sheetFormatPr defaultColWidth="12.5546875" defaultRowHeight="14.4" x14ac:dyDescent="0.3"/>
  <cols>
    <col min="1" max="1" width="2" style="38" customWidth="1"/>
    <col min="2" max="2" width="11.33203125" style="38" customWidth="1"/>
    <col min="3" max="3" width="12" style="38" customWidth="1"/>
    <col min="4" max="4" width="6.33203125" style="38" customWidth="1"/>
    <col min="5" max="5" width="8.44140625" style="38" customWidth="1"/>
    <col min="6" max="6" width="8.109375" style="38" customWidth="1"/>
    <col min="7" max="7" width="2" style="38" customWidth="1"/>
    <col min="8" max="8" width="11.33203125" style="38" customWidth="1"/>
    <col min="9" max="9" width="12" style="38" customWidth="1"/>
    <col min="10" max="10" width="6.33203125" style="38" customWidth="1"/>
    <col min="11" max="11" width="8.44140625" style="38" customWidth="1"/>
    <col min="12" max="12" width="8.109375" style="38" customWidth="1"/>
    <col min="13" max="13" width="2" style="38" customWidth="1"/>
    <col min="14" max="14" width="11.33203125" style="38" customWidth="1"/>
    <col min="15" max="15" width="12" style="38" customWidth="1"/>
    <col min="16" max="16" width="6.33203125" style="38" customWidth="1"/>
    <col min="17" max="17" width="8.44140625" style="38" customWidth="1"/>
    <col min="18" max="18" width="8.109375" style="38" customWidth="1"/>
    <col min="19" max="20" width="2.44140625" style="38" customWidth="1"/>
    <col min="21" max="23" width="12.33203125" style="38" hidden="1" customWidth="1"/>
    <col min="24" max="1024" width="12.33203125" style="38" customWidth="1"/>
    <col min="1025" max="16384" width="12.5546875" style="52"/>
  </cols>
  <sheetData>
    <row r="1" spans="2:23" ht="21" x14ac:dyDescent="0.4">
      <c r="B1" s="53" t="s">
        <v>187</v>
      </c>
      <c r="H1" s="38" t="s">
        <v>188</v>
      </c>
    </row>
    <row r="2" spans="2:23" ht="26.4" customHeight="1" x14ac:dyDescent="0.5">
      <c r="B2" s="54" t="s">
        <v>189</v>
      </c>
      <c r="C2" s="524"/>
      <c r="D2" s="524"/>
      <c r="E2" s="524"/>
      <c r="F2" s="524"/>
      <c r="G2" s="524"/>
      <c r="H2" s="524"/>
      <c r="I2" s="524"/>
      <c r="J2" s="524"/>
      <c r="K2" s="36"/>
      <c r="L2" s="36"/>
      <c r="M2" s="36"/>
      <c r="N2" s="55" t="s">
        <v>190</v>
      </c>
      <c r="O2" s="56">
        <f>870-COUNTBLANK(U4:W293)</f>
        <v>0</v>
      </c>
      <c r="P2" s="57" t="s">
        <v>45</v>
      </c>
      <c r="Q2" s="525">
        <f>F19+L19+R19+F36+L36+R36+F53+L53+R53++F70+L70+R70+F87+L87+R87+F104+L104+R104+F121+L121+R121+F138+L138+R138+F155+L155+R155+F172+L172+R172+F189+L189+R189+F206+L206+R206+F223+L223+R223+F240+L240+R240+F257+L257+R257+F274+L274+R274+F291+L291+R291+F308+L308+R308</f>
        <v>0</v>
      </c>
      <c r="R2" s="525"/>
    </row>
    <row r="3" spans="2:23" ht="8.25" customHeight="1" x14ac:dyDescent="0.5">
      <c r="B3" s="58"/>
      <c r="H3" s="58"/>
      <c r="N3" s="58"/>
    </row>
    <row r="4" spans="2:23" ht="14.4" customHeight="1" x14ac:dyDescent="0.3">
      <c r="B4" s="59" t="s">
        <v>191</v>
      </c>
      <c r="C4" s="523"/>
      <c r="D4" s="523"/>
      <c r="E4" s="523"/>
      <c r="F4" s="523"/>
      <c r="H4" s="59" t="s">
        <v>191</v>
      </c>
      <c r="I4" s="523"/>
      <c r="J4" s="523"/>
      <c r="K4" s="523"/>
      <c r="L4" s="523"/>
      <c r="N4" s="59" t="s">
        <v>191</v>
      </c>
      <c r="O4" s="523"/>
      <c r="P4" s="523"/>
      <c r="Q4" s="523"/>
      <c r="R4" s="523"/>
      <c r="U4" s="46" t="str">
        <f>IF(C4&gt;"",C4,"")</f>
        <v/>
      </c>
      <c r="V4" s="46" t="str">
        <f>IF(I4&gt;"",I4,"")</f>
        <v/>
      </c>
      <c r="W4" s="46" t="str">
        <f>IF(O4&gt;"",O4,"")</f>
        <v/>
      </c>
    </row>
    <row r="5" spans="2:23" ht="4.5" customHeight="1" x14ac:dyDescent="0.3"/>
    <row r="6" spans="2:23" x14ac:dyDescent="0.3">
      <c r="B6" s="40" t="s">
        <v>184</v>
      </c>
      <c r="C6" s="40" t="s">
        <v>185</v>
      </c>
      <c r="D6" s="41"/>
      <c r="E6" s="42" t="s">
        <v>186</v>
      </c>
      <c r="F6" s="41"/>
      <c r="H6" s="40" t="s">
        <v>184</v>
      </c>
      <c r="I6" s="40" t="s">
        <v>185</v>
      </c>
      <c r="J6" s="41"/>
      <c r="K6" s="42" t="s">
        <v>186</v>
      </c>
      <c r="L6" s="41"/>
      <c r="N6" s="40" t="s">
        <v>184</v>
      </c>
      <c r="O6" s="40" t="s">
        <v>185</v>
      </c>
      <c r="P6" s="41"/>
      <c r="Q6" s="42" t="s">
        <v>186</v>
      </c>
      <c r="R6" s="41"/>
    </row>
    <row r="7" spans="2:23" x14ac:dyDescent="0.3">
      <c r="B7" s="60"/>
      <c r="C7" s="60"/>
      <c r="D7" s="44">
        <f t="shared" ref="D7:D15" si="0">IF(C7="",0,C7-B7+1)</f>
        <v>0</v>
      </c>
      <c r="E7" s="45"/>
      <c r="F7" s="46">
        <f t="shared" ref="F7:F15" si="1">+D7*E7</f>
        <v>0</v>
      </c>
      <c r="H7" s="60"/>
      <c r="I7" s="60"/>
      <c r="J7" s="44">
        <f t="shared" ref="J7:J15" si="2">IF(I7="",0,I7-H7+1)</f>
        <v>0</v>
      </c>
      <c r="K7" s="45"/>
      <c r="L7" s="46">
        <f t="shared" ref="L7:L15" si="3">+J7*K7</f>
        <v>0</v>
      </c>
      <c r="N7" s="60"/>
      <c r="O7" s="60"/>
      <c r="P7" s="44">
        <f t="shared" ref="P7:P15" si="4">IF(O7="",0,O7-N7+1)</f>
        <v>0</v>
      </c>
      <c r="Q7" s="45"/>
      <c r="R7" s="46">
        <f t="shared" ref="R7:R15" si="5">+P7*Q7</f>
        <v>0</v>
      </c>
    </row>
    <row r="8" spans="2:23" x14ac:dyDescent="0.3">
      <c r="B8" s="60"/>
      <c r="C8" s="60"/>
      <c r="D8" s="44">
        <f t="shared" si="0"/>
        <v>0</v>
      </c>
      <c r="E8" s="45"/>
      <c r="F8" s="46">
        <f t="shared" si="1"/>
        <v>0</v>
      </c>
      <c r="H8" s="60"/>
      <c r="I8" s="60"/>
      <c r="J8" s="44">
        <f t="shared" si="2"/>
        <v>0</v>
      </c>
      <c r="K8" s="45"/>
      <c r="L8" s="46">
        <f t="shared" si="3"/>
        <v>0</v>
      </c>
      <c r="N8" s="60"/>
      <c r="O8" s="60"/>
      <c r="P8" s="44">
        <f t="shared" si="4"/>
        <v>0</v>
      </c>
      <c r="Q8" s="45"/>
      <c r="R8" s="46">
        <f t="shared" si="5"/>
        <v>0</v>
      </c>
    </row>
    <row r="9" spans="2:23" x14ac:dyDescent="0.3">
      <c r="B9" s="60"/>
      <c r="C9" s="60"/>
      <c r="D9" s="44">
        <f t="shared" si="0"/>
        <v>0</v>
      </c>
      <c r="E9" s="45"/>
      <c r="F9" s="46">
        <f t="shared" si="1"/>
        <v>0</v>
      </c>
      <c r="H9" s="60"/>
      <c r="I9" s="60"/>
      <c r="J9" s="44">
        <f t="shared" si="2"/>
        <v>0</v>
      </c>
      <c r="K9" s="45"/>
      <c r="L9" s="46">
        <f t="shared" si="3"/>
        <v>0</v>
      </c>
      <c r="N9" s="60"/>
      <c r="O9" s="60"/>
      <c r="P9" s="44">
        <f t="shared" si="4"/>
        <v>0</v>
      </c>
      <c r="Q9" s="45"/>
      <c r="R9" s="46">
        <f t="shared" si="5"/>
        <v>0</v>
      </c>
    </row>
    <row r="10" spans="2:23" x14ac:dyDescent="0.3">
      <c r="B10" s="60"/>
      <c r="C10" s="60"/>
      <c r="D10" s="44">
        <f t="shared" si="0"/>
        <v>0</v>
      </c>
      <c r="E10" s="45"/>
      <c r="F10" s="46">
        <f t="shared" si="1"/>
        <v>0</v>
      </c>
      <c r="H10" s="60"/>
      <c r="I10" s="60"/>
      <c r="J10" s="44">
        <f t="shared" si="2"/>
        <v>0</v>
      </c>
      <c r="K10" s="45"/>
      <c r="L10" s="46">
        <f t="shared" si="3"/>
        <v>0</v>
      </c>
      <c r="N10" s="60"/>
      <c r="O10" s="60"/>
      <c r="P10" s="44">
        <f t="shared" si="4"/>
        <v>0</v>
      </c>
      <c r="Q10" s="45"/>
      <c r="R10" s="46">
        <f t="shared" si="5"/>
        <v>0</v>
      </c>
    </row>
    <row r="11" spans="2:23" x14ac:dyDescent="0.3">
      <c r="B11" s="60"/>
      <c r="C11" s="60"/>
      <c r="D11" s="44">
        <f t="shared" si="0"/>
        <v>0</v>
      </c>
      <c r="E11" s="45"/>
      <c r="F11" s="46">
        <f t="shared" si="1"/>
        <v>0</v>
      </c>
      <c r="H11" s="60"/>
      <c r="I11" s="60"/>
      <c r="J11" s="44">
        <f t="shared" si="2"/>
        <v>0</v>
      </c>
      <c r="K11" s="45"/>
      <c r="L11" s="46">
        <f t="shared" si="3"/>
        <v>0</v>
      </c>
      <c r="N11" s="60"/>
      <c r="O11" s="60"/>
      <c r="P11" s="44">
        <f t="shared" si="4"/>
        <v>0</v>
      </c>
      <c r="Q11" s="45"/>
      <c r="R11" s="46">
        <f t="shared" si="5"/>
        <v>0</v>
      </c>
    </row>
    <row r="12" spans="2:23" x14ac:dyDescent="0.3">
      <c r="B12" s="60"/>
      <c r="C12" s="60"/>
      <c r="D12" s="44">
        <f t="shared" si="0"/>
        <v>0</v>
      </c>
      <c r="E12" s="45"/>
      <c r="F12" s="46">
        <f t="shared" si="1"/>
        <v>0</v>
      </c>
      <c r="H12" s="60"/>
      <c r="I12" s="60"/>
      <c r="J12" s="44">
        <f t="shared" si="2"/>
        <v>0</v>
      </c>
      <c r="K12" s="45"/>
      <c r="L12" s="46">
        <f t="shared" si="3"/>
        <v>0</v>
      </c>
      <c r="N12" s="60"/>
      <c r="O12" s="60"/>
      <c r="P12" s="44">
        <f t="shared" si="4"/>
        <v>0</v>
      </c>
      <c r="Q12" s="45"/>
      <c r="R12" s="46">
        <f t="shared" si="5"/>
        <v>0</v>
      </c>
    </row>
    <row r="13" spans="2:23" x14ac:dyDescent="0.3">
      <c r="B13" s="61"/>
      <c r="C13" s="61"/>
      <c r="D13" s="44">
        <f t="shared" si="0"/>
        <v>0</v>
      </c>
      <c r="E13" s="45"/>
      <c r="F13" s="46">
        <f t="shared" si="1"/>
        <v>0</v>
      </c>
      <c r="H13" s="61"/>
      <c r="I13" s="61"/>
      <c r="J13" s="44">
        <f t="shared" si="2"/>
        <v>0</v>
      </c>
      <c r="K13" s="45"/>
      <c r="L13" s="46">
        <f t="shared" si="3"/>
        <v>0</v>
      </c>
      <c r="N13" s="61"/>
      <c r="O13" s="61"/>
      <c r="P13" s="44">
        <f t="shared" si="4"/>
        <v>0</v>
      </c>
      <c r="Q13" s="45"/>
      <c r="R13" s="46">
        <f t="shared" si="5"/>
        <v>0</v>
      </c>
    </row>
    <row r="14" spans="2:23" x14ac:dyDescent="0.3">
      <c r="B14" s="61"/>
      <c r="C14" s="61"/>
      <c r="D14" s="44">
        <f t="shared" si="0"/>
        <v>0</v>
      </c>
      <c r="E14" s="45"/>
      <c r="F14" s="46">
        <f t="shared" si="1"/>
        <v>0</v>
      </c>
      <c r="H14" s="61"/>
      <c r="I14" s="61"/>
      <c r="J14" s="44">
        <f t="shared" si="2"/>
        <v>0</v>
      </c>
      <c r="K14" s="45"/>
      <c r="L14" s="46">
        <f t="shared" si="3"/>
        <v>0</v>
      </c>
      <c r="N14" s="61"/>
      <c r="O14" s="61"/>
      <c r="P14" s="44">
        <f t="shared" si="4"/>
        <v>0</v>
      </c>
      <c r="Q14" s="45"/>
      <c r="R14" s="46">
        <f t="shared" si="5"/>
        <v>0</v>
      </c>
    </row>
    <row r="15" spans="2:23" x14ac:dyDescent="0.3">
      <c r="B15" s="61"/>
      <c r="C15" s="61"/>
      <c r="D15" s="44">
        <f t="shared" si="0"/>
        <v>0</v>
      </c>
      <c r="E15" s="45"/>
      <c r="F15" s="46">
        <f t="shared" si="1"/>
        <v>0</v>
      </c>
      <c r="H15" s="61"/>
      <c r="I15" s="61"/>
      <c r="J15" s="44">
        <f t="shared" si="2"/>
        <v>0</v>
      </c>
      <c r="K15" s="45"/>
      <c r="L15" s="46">
        <f t="shared" si="3"/>
        <v>0</v>
      </c>
      <c r="N15" s="61"/>
      <c r="O15" s="61"/>
      <c r="P15" s="44">
        <f t="shared" si="4"/>
        <v>0</v>
      </c>
      <c r="Q15" s="45"/>
      <c r="R15" s="46">
        <f t="shared" si="5"/>
        <v>0</v>
      </c>
    </row>
    <row r="16" spans="2:23" ht="4.5" customHeight="1" x14ac:dyDescent="0.3"/>
    <row r="17" spans="2:23" x14ac:dyDescent="0.3">
      <c r="C17" s="48" t="s">
        <v>46</v>
      </c>
      <c r="D17" s="62">
        <f>SUM(D7:D15)</f>
        <v>0</v>
      </c>
      <c r="F17" s="49">
        <f>SUM(F7:F15)</f>
        <v>0</v>
      </c>
      <c r="I17" s="48" t="s">
        <v>46</v>
      </c>
      <c r="J17" s="62">
        <f>SUM(J7:J15)</f>
        <v>0</v>
      </c>
      <c r="L17" s="49">
        <f>SUM(L7:L15)</f>
        <v>0</v>
      </c>
      <c r="O17" s="48" t="s">
        <v>46</v>
      </c>
      <c r="P17" s="62">
        <f>SUM(P7:P15)</f>
        <v>0</v>
      </c>
      <c r="R17" s="49">
        <f>SUM(R7:R15)</f>
        <v>0</v>
      </c>
    </row>
    <row r="18" spans="2:23" ht="3.75" customHeight="1" x14ac:dyDescent="0.3"/>
    <row r="19" spans="2:23" x14ac:dyDescent="0.3">
      <c r="E19" s="50" t="s">
        <v>45</v>
      </c>
      <c r="F19" s="51">
        <f>IF(D17=0,0,F17/D17)</f>
        <v>0</v>
      </c>
      <c r="K19" s="50" t="s">
        <v>45</v>
      </c>
      <c r="L19" s="51">
        <f>IF(J17=0,0,L17/J17)</f>
        <v>0</v>
      </c>
      <c r="Q19" s="50" t="s">
        <v>45</v>
      </c>
      <c r="R19" s="51">
        <f>IF(P17=0,0,R17/P17)</f>
        <v>0</v>
      </c>
    </row>
    <row r="20" spans="2:23" ht="15" customHeight="1" x14ac:dyDescent="0.3"/>
    <row r="21" spans="2:23" x14ac:dyDescent="0.3">
      <c r="B21" s="59" t="s">
        <v>191</v>
      </c>
      <c r="C21" s="523"/>
      <c r="D21" s="523"/>
      <c r="E21" s="523"/>
      <c r="F21" s="523"/>
      <c r="H21" s="59" t="s">
        <v>191</v>
      </c>
      <c r="I21" s="523"/>
      <c r="J21" s="523"/>
      <c r="K21" s="523"/>
      <c r="L21" s="523"/>
      <c r="N21" s="59" t="s">
        <v>191</v>
      </c>
      <c r="O21" s="523"/>
      <c r="P21" s="523"/>
      <c r="Q21" s="523"/>
      <c r="R21" s="523"/>
      <c r="U21" s="46" t="str">
        <f>IF(C21&gt;"",C21,"")</f>
        <v/>
      </c>
      <c r="V21" s="46" t="str">
        <f>IF(I21&gt;"",I21,"")</f>
        <v/>
      </c>
      <c r="W21" s="46" t="str">
        <f>IF(O21&gt;"",O21,"")</f>
        <v/>
      </c>
    </row>
    <row r="22" spans="2:23" ht="4.5" customHeight="1" x14ac:dyDescent="0.3"/>
    <row r="23" spans="2:23" x14ac:dyDescent="0.3">
      <c r="B23" s="40" t="s">
        <v>184</v>
      </c>
      <c r="C23" s="40" t="s">
        <v>185</v>
      </c>
      <c r="D23" s="41"/>
      <c r="E23" s="42" t="s">
        <v>186</v>
      </c>
      <c r="F23" s="41"/>
      <c r="H23" s="40" t="s">
        <v>184</v>
      </c>
      <c r="I23" s="40" t="s">
        <v>185</v>
      </c>
      <c r="J23" s="41"/>
      <c r="K23" s="42" t="s">
        <v>186</v>
      </c>
      <c r="L23" s="41"/>
      <c r="N23" s="40" t="s">
        <v>184</v>
      </c>
      <c r="O23" s="40" t="s">
        <v>185</v>
      </c>
      <c r="P23" s="41"/>
      <c r="Q23" s="42" t="s">
        <v>186</v>
      </c>
      <c r="R23" s="41"/>
    </row>
    <row r="24" spans="2:23" x14ac:dyDescent="0.3">
      <c r="B24" s="60"/>
      <c r="C24" s="60"/>
      <c r="D24" s="44">
        <f t="shared" ref="D24:D32" si="6">IF(C24="",0,C24-B24+1)</f>
        <v>0</v>
      </c>
      <c r="E24" s="63"/>
      <c r="F24" s="46">
        <f t="shared" ref="F24:F32" si="7">+D24*E24</f>
        <v>0</v>
      </c>
      <c r="H24" s="60"/>
      <c r="I24" s="60"/>
      <c r="J24" s="44">
        <f t="shared" ref="J24:J32" si="8">IF(I24="",0,I24-H24+1)</f>
        <v>0</v>
      </c>
      <c r="K24" s="45"/>
      <c r="L24" s="46">
        <f t="shared" ref="L24:L32" si="9">+J24*K24</f>
        <v>0</v>
      </c>
      <c r="N24" s="60"/>
      <c r="O24" s="60"/>
      <c r="P24" s="44">
        <f t="shared" ref="P24:P32" si="10">IF(O24="",0,O24-N24+1)</f>
        <v>0</v>
      </c>
      <c r="Q24" s="45"/>
      <c r="R24" s="46">
        <f t="shared" ref="R24:R32" si="11">+P24*Q24</f>
        <v>0</v>
      </c>
    </row>
    <row r="25" spans="2:23" x14ac:dyDescent="0.3">
      <c r="B25" s="60"/>
      <c r="C25" s="60"/>
      <c r="D25" s="44">
        <f t="shared" si="6"/>
        <v>0</v>
      </c>
      <c r="E25" s="45"/>
      <c r="F25" s="46">
        <f t="shared" si="7"/>
        <v>0</v>
      </c>
      <c r="H25" s="60"/>
      <c r="I25" s="60"/>
      <c r="J25" s="44">
        <f t="shared" si="8"/>
        <v>0</v>
      </c>
      <c r="K25" s="45"/>
      <c r="L25" s="46">
        <f t="shared" si="9"/>
        <v>0</v>
      </c>
      <c r="N25" s="60"/>
      <c r="O25" s="60"/>
      <c r="P25" s="44">
        <f t="shared" si="10"/>
        <v>0</v>
      </c>
      <c r="Q25" s="45"/>
      <c r="R25" s="46">
        <f t="shared" si="11"/>
        <v>0</v>
      </c>
    </row>
    <row r="26" spans="2:23" x14ac:dyDescent="0.3">
      <c r="B26" s="60"/>
      <c r="C26" s="60"/>
      <c r="D26" s="44">
        <f t="shared" si="6"/>
        <v>0</v>
      </c>
      <c r="E26" s="45"/>
      <c r="F26" s="46">
        <f t="shared" si="7"/>
        <v>0</v>
      </c>
      <c r="H26" s="60"/>
      <c r="I26" s="60"/>
      <c r="J26" s="44">
        <f t="shared" si="8"/>
        <v>0</v>
      </c>
      <c r="K26" s="45"/>
      <c r="L26" s="46">
        <f t="shared" si="9"/>
        <v>0</v>
      </c>
      <c r="N26" s="60"/>
      <c r="O26" s="60"/>
      <c r="P26" s="44">
        <f t="shared" si="10"/>
        <v>0</v>
      </c>
      <c r="Q26" s="45"/>
      <c r="R26" s="46">
        <f t="shared" si="11"/>
        <v>0</v>
      </c>
    </row>
    <row r="27" spans="2:23" x14ac:dyDescent="0.3">
      <c r="B27" s="60"/>
      <c r="C27" s="60"/>
      <c r="D27" s="44">
        <f t="shared" si="6"/>
        <v>0</v>
      </c>
      <c r="E27" s="45"/>
      <c r="F27" s="46">
        <f t="shared" si="7"/>
        <v>0</v>
      </c>
      <c r="H27" s="60"/>
      <c r="I27" s="60"/>
      <c r="J27" s="44">
        <f t="shared" si="8"/>
        <v>0</v>
      </c>
      <c r="K27" s="45"/>
      <c r="L27" s="46">
        <f t="shared" si="9"/>
        <v>0</v>
      </c>
      <c r="N27" s="60"/>
      <c r="O27" s="60"/>
      <c r="P27" s="44">
        <f t="shared" si="10"/>
        <v>0</v>
      </c>
      <c r="Q27" s="45"/>
      <c r="R27" s="46">
        <f t="shared" si="11"/>
        <v>0</v>
      </c>
    </row>
    <row r="28" spans="2:23" x14ac:dyDescent="0.3">
      <c r="B28" s="60"/>
      <c r="C28" s="60"/>
      <c r="D28" s="44">
        <f t="shared" si="6"/>
        <v>0</v>
      </c>
      <c r="E28" s="45"/>
      <c r="F28" s="46">
        <f t="shared" si="7"/>
        <v>0</v>
      </c>
      <c r="H28" s="60"/>
      <c r="I28" s="60"/>
      <c r="J28" s="44">
        <f t="shared" si="8"/>
        <v>0</v>
      </c>
      <c r="K28" s="45"/>
      <c r="L28" s="46">
        <f t="shared" si="9"/>
        <v>0</v>
      </c>
      <c r="N28" s="60"/>
      <c r="O28" s="60"/>
      <c r="P28" s="44">
        <f t="shared" si="10"/>
        <v>0</v>
      </c>
      <c r="Q28" s="45"/>
      <c r="R28" s="46">
        <f t="shared" si="11"/>
        <v>0</v>
      </c>
    </row>
    <row r="29" spans="2:23" x14ac:dyDescent="0.3">
      <c r="B29" s="60"/>
      <c r="C29" s="60"/>
      <c r="D29" s="44">
        <f t="shared" si="6"/>
        <v>0</v>
      </c>
      <c r="E29" s="45"/>
      <c r="F29" s="46">
        <f t="shared" si="7"/>
        <v>0</v>
      </c>
      <c r="H29" s="60"/>
      <c r="I29" s="60"/>
      <c r="J29" s="44">
        <f t="shared" si="8"/>
        <v>0</v>
      </c>
      <c r="K29" s="45"/>
      <c r="L29" s="46">
        <f t="shared" si="9"/>
        <v>0</v>
      </c>
      <c r="N29" s="60"/>
      <c r="O29" s="60"/>
      <c r="P29" s="44">
        <f t="shared" si="10"/>
        <v>0</v>
      </c>
      <c r="Q29" s="45"/>
      <c r="R29" s="46">
        <f t="shared" si="11"/>
        <v>0</v>
      </c>
    </row>
    <row r="30" spans="2:23" x14ac:dyDescent="0.3">
      <c r="B30" s="61"/>
      <c r="C30" s="61"/>
      <c r="D30" s="44">
        <f t="shared" si="6"/>
        <v>0</v>
      </c>
      <c r="E30" s="45"/>
      <c r="F30" s="46">
        <f t="shared" si="7"/>
        <v>0</v>
      </c>
      <c r="H30" s="61"/>
      <c r="I30" s="61"/>
      <c r="J30" s="44">
        <f t="shared" si="8"/>
        <v>0</v>
      </c>
      <c r="K30" s="45"/>
      <c r="L30" s="46">
        <f t="shared" si="9"/>
        <v>0</v>
      </c>
      <c r="N30" s="61"/>
      <c r="O30" s="61"/>
      <c r="P30" s="44">
        <f t="shared" si="10"/>
        <v>0</v>
      </c>
      <c r="Q30" s="45"/>
      <c r="R30" s="46">
        <f t="shared" si="11"/>
        <v>0</v>
      </c>
    </row>
    <row r="31" spans="2:23" x14ac:dyDescent="0.3">
      <c r="B31" s="61"/>
      <c r="C31" s="61"/>
      <c r="D31" s="44">
        <f t="shared" si="6"/>
        <v>0</v>
      </c>
      <c r="E31" s="45"/>
      <c r="F31" s="46">
        <f t="shared" si="7"/>
        <v>0</v>
      </c>
      <c r="H31" s="61"/>
      <c r="I31" s="61"/>
      <c r="J31" s="44">
        <f t="shared" si="8"/>
        <v>0</v>
      </c>
      <c r="K31" s="45"/>
      <c r="L31" s="46">
        <f t="shared" si="9"/>
        <v>0</v>
      </c>
      <c r="N31" s="61"/>
      <c r="O31" s="61"/>
      <c r="P31" s="44">
        <f t="shared" si="10"/>
        <v>0</v>
      </c>
      <c r="Q31" s="45"/>
      <c r="R31" s="46">
        <f t="shared" si="11"/>
        <v>0</v>
      </c>
    </row>
    <row r="32" spans="2:23" x14ac:dyDescent="0.3">
      <c r="B32" s="61"/>
      <c r="C32" s="61"/>
      <c r="D32" s="44">
        <f t="shared" si="6"/>
        <v>0</v>
      </c>
      <c r="E32" s="45"/>
      <c r="F32" s="46">
        <f t="shared" si="7"/>
        <v>0</v>
      </c>
      <c r="H32" s="61"/>
      <c r="I32" s="61"/>
      <c r="J32" s="44">
        <f t="shared" si="8"/>
        <v>0</v>
      </c>
      <c r="K32" s="45"/>
      <c r="L32" s="46">
        <f t="shared" si="9"/>
        <v>0</v>
      </c>
      <c r="N32" s="61"/>
      <c r="O32" s="61"/>
      <c r="P32" s="44">
        <f t="shared" si="10"/>
        <v>0</v>
      </c>
      <c r="Q32" s="45"/>
      <c r="R32" s="46">
        <f t="shared" si="11"/>
        <v>0</v>
      </c>
    </row>
    <row r="33" spans="2:23" ht="4.5" customHeight="1" x14ac:dyDescent="0.3"/>
    <row r="34" spans="2:23" x14ac:dyDescent="0.3">
      <c r="C34" s="48" t="s">
        <v>46</v>
      </c>
      <c r="D34" s="62">
        <f>SUM(D24:D32)</f>
        <v>0</v>
      </c>
      <c r="F34" s="49">
        <f>SUM(F24:F32)</f>
        <v>0</v>
      </c>
      <c r="I34" s="48" t="s">
        <v>46</v>
      </c>
      <c r="J34" s="62">
        <f>SUM(J24:J32)</f>
        <v>0</v>
      </c>
      <c r="L34" s="49">
        <f>SUM(L24:L32)</f>
        <v>0</v>
      </c>
      <c r="O34" s="48" t="s">
        <v>46</v>
      </c>
      <c r="P34" s="62">
        <f>SUM(P24:P32)</f>
        <v>0</v>
      </c>
      <c r="R34" s="49">
        <f>SUM(R24:R32)</f>
        <v>0</v>
      </c>
    </row>
    <row r="35" spans="2:23" ht="3.75" customHeight="1" x14ac:dyDescent="0.3"/>
    <row r="36" spans="2:23" x14ac:dyDescent="0.3">
      <c r="E36" s="50" t="s">
        <v>45</v>
      </c>
      <c r="F36" s="51">
        <f>IF(D34=0,0,F34/D34)</f>
        <v>0</v>
      </c>
      <c r="K36" s="50" t="s">
        <v>45</v>
      </c>
      <c r="L36" s="51">
        <f>IF(J34=0,0,L34/J34)</f>
        <v>0</v>
      </c>
      <c r="Q36" s="50" t="s">
        <v>45</v>
      </c>
      <c r="R36" s="51">
        <f>IF(P34=0,0,R34/P34)</f>
        <v>0</v>
      </c>
    </row>
    <row r="38" spans="2:23" x14ac:dyDescent="0.3">
      <c r="B38" s="59" t="s">
        <v>191</v>
      </c>
      <c r="C38" s="523"/>
      <c r="D38" s="523"/>
      <c r="E38" s="523"/>
      <c r="F38" s="523"/>
      <c r="H38" s="59" t="s">
        <v>191</v>
      </c>
      <c r="I38" s="523"/>
      <c r="J38" s="523"/>
      <c r="K38" s="523"/>
      <c r="L38" s="523"/>
      <c r="N38" s="59" t="s">
        <v>191</v>
      </c>
      <c r="O38" s="523"/>
      <c r="P38" s="523"/>
      <c r="Q38" s="523"/>
      <c r="R38" s="523"/>
      <c r="U38" s="46" t="str">
        <f>IF(C38&gt;"",C38,"")</f>
        <v/>
      </c>
      <c r="V38" s="46" t="str">
        <f>IF(I38&gt;"",I38,"")</f>
        <v/>
      </c>
      <c r="W38" s="46" t="str">
        <f>IF(O38&gt;"",O38,"")</f>
        <v/>
      </c>
    </row>
    <row r="39" spans="2:23" ht="4.5" customHeight="1" x14ac:dyDescent="0.3"/>
    <row r="40" spans="2:23" x14ac:dyDescent="0.3">
      <c r="B40" s="40" t="s">
        <v>184</v>
      </c>
      <c r="C40" s="40" t="s">
        <v>185</v>
      </c>
      <c r="D40" s="41"/>
      <c r="E40" s="42" t="s">
        <v>186</v>
      </c>
      <c r="F40" s="41"/>
      <c r="H40" s="40" t="s">
        <v>184</v>
      </c>
      <c r="I40" s="40" t="s">
        <v>185</v>
      </c>
      <c r="J40" s="41"/>
      <c r="K40" s="42" t="s">
        <v>186</v>
      </c>
      <c r="L40" s="41"/>
      <c r="N40" s="40" t="s">
        <v>184</v>
      </c>
      <c r="O40" s="40" t="s">
        <v>185</v>
      </c>
      <c r="P40" s="41"/>
      <c r="Q40" s="42" t="s">
        <v>186</v>
      </c>
      <c r="R40" s="41"/>
    </row>
    <row r="41" spans="2:23" x14ac:dyDescent="0.3">
      <c r="B41" s="60"/>
      <c r="C41" s="60"/>
      <c r="D41" s="44">
        <f t="shared" ref="D41:D49" si="12">IF(C41="",0,C41-B41+1)</f>
        <v>0</v>
      </c>
      <c r="E41" s="45"/>
      <c r="F41" s="46">
        <f t="shared" ref="F41:F49" si="13">+D41*E41</f>
        <v>0</v>
      </c>
      <c r="H41" s="60"/>
      <c r="I41" s="60"/>
      <c r="J41" s="44">
        <f t="shared" ref="J41:J49" si="14">IF(I41="",0,I41-H41+1)</f>
        <v>0</v>
      </c>
      <c r="K41" s="45"/>
      <c r="L41" s="46">
        <f t="shared" ref="L41:L49" si="15">+J41*K41</f>
        <v>0</v>
      </c>
      <c r="N41" s="60"/>
      <c r="O41" s="60"/>
      <c r="P41" s="44">
        <f t="shared" ref="P41:P49" si="16">IF(O41="",0,O41-N41+1)</f>
        <v>0</v>
      </c>
      <c r="Q41" s="45"/>
      <c r="R41" s="46">
        <f t="shared" ref="R41:R49" si="17">+P41*Q41</f>
        <v>0</v>
      </c>
    </row>
    <row r="42" spans="2:23" x14ac:dyDescent="0.3">
      <c r="B42" s="60"/>
      <c r="C42" s="60"/>
      <c r="D42" s="44">
        <f t="shared" si="12"/>
        <v>0</v>
      </c>
      <c r="E42" s="45"/>
      <c r="F42" s="46">
        <f t="shared" si="13"/>
        <v>0</v>
      </c>
      <c r="H42" s="60"/>
      <c r="I42" s="60"/>
      <c r="J42" s="44">
        <f t="shared" si="14"/>
        <v>0</v>
      </c>
      <c r="K42" s="45"/>
      <c r="L42" s="46">
        <f t="shared" si="15"/>
        <v>0</v>
      </c>
      <c r="N42" s="60"/>
      <c r="O42" s="60"/>
      <c r="P42" s="44">
        <f t="shared" si="16"/>
        <v>0</v>
      </c>
      <c r="Q42" s="45"/>
      <c r="R42" s="46">
        <f t="shared" si="17"/>
        <v>0</v>
      </c>
    </row>
    <row r="43" spans="2:23" x14ac:dyDescent="0.3">
      <c r="B43" s="60"/>
      <c r="C43" s="60"/>
      <c r="D43" s="44">
        <f t="shared" si="12"/>
        <v>0</v>
      </c>
      <c r="E43" s="45"/>
      <c r="F43" s="46">
        <f t="shared" si="13"/>
        <v>0</v>
      </c>
      <c r="H43" s="60"/>
      <c r="I43" s="60"/>
      <c r="J43" s="44">
        <f t="shared" si="14"/>
        <v>0</v>
      </c>
      <c r="K43" s="45"/>
      <c r="L43" s="46">
        <f t="shared" si="15"/>
        <v>0</v>
      </c>
      <c r="N43" s="60"/>
      <c r="O43" s="60"/>
      <c r="P43" s="44">
        <f t="shared" si="16"/>
        <v>0</v>
      </c>
      <c r="Q43" s="45"/>
      <c r="R43" s="46">
        <f t="shared" si="17"/>
        <v>0</v>
      </c>
    </row>
    <row r="44" spans="2:23" x14ac:dyDescent="0.3">
      <c r="B44" s="60"/>
      <c r="C44" s="60"/>
      <c r="D44" s="44">
        <f t="shared" si="12"/>
        <v>0</v>
      </c>
      <c r="E44" s="45"/>
      <c r="F44" s="46">
        <f t="shared" si="13"/>
        <v>0</v>
      </c>
      <c r="H44" s="60"/>
      <c r="I44" s="60"/>
      <c r="J44" s="44">
        <f t="shared" si="14"/>
        <v>0</v>
      </c>
      <c r="K44" s="45"/>
      <c r="L44" s="46">
        <f t="shared" si="15"/>
        <v>0</v>
      </c>
      <c r="N44" s="60"/>
      <c r="O44" s="60"/>
      <c r="P44" s="44">
        <f t="shared" si="16"/>
        <v>0</v>
      </c>
      <c r="Q44" s="45"/>
      <c r="R44" s="46">
        <f t="shared" si="17"/>
        <v>0</v>
      </c>
    </row>
    <row r="45" spans="2:23" x14ac:dyDescent="0.3">
      <c r="B45" s="60"/>
      <c r="C45" s="60"/>
      <c r="D45" s="44">
        <f t="shared" si="12"/>
        <v>0</v>
      </c>
      <c r="E45" s="45"/>
      <c r="F45" s="46">
        <f t="shared" si="13"/>
        <v>0</v>
      </c>
      <c r="H45" s="60"/>
      <c r="I45" s="60"/>
      <c r="J45" s="44">
        <f t="shared" si="14"/>
        <v>0</v>
      </c>
      <c r="K45" s="45"/>
      <c r="L45" s="46">
        <f t="shared" si="15"/>
        <v>0</v>
      </c>
      <c r="N45" s="60"/>
      <c r="O45" s="60"/>
      <c r="P45" s="44">
        <f t="shared" si="16"/>
        <v>0</v>
      </c>
      <c r="Q45" s="45"/>
      <c r="R45" s="46">
        <f t="shared" si="17"/>
        <v>0</v>
      </c>
    </row>
    <row r="46" spans="2:23" x14ac:dyDescent="0.3">
      <c r="B46" s="60"/>
      <c r="C46" s="60"/>
      <c r="D46" s="44">
        <f t="shared" si="12"/>
        <v>0</v>
      </c>
      <c r="E46" s="45"/>
      <c r="F46" s="46">
        <f t="shared" si="13"/>
        <v>0</v>
      </c>
      <c r="H46" s="60"/>
      <c r="I46" s="60"/>
      <c r="J46" s="44">
        <f t="shared" si="14"/>
        <v>0</v>
      </c>
      <c r="K46" s="45"/>
      <c r="L46" s="46">
        <f t="shared" si="15"/>
        <v>0</v>
      </c>
      <c r="N46" s="60"/>
      <c r="O46" s="60"/>
      <c r="P46" s="44">
        <f t="shared" si="16"/>
        <v>0</v>
      </c>
      <c r="Q46" s="45"/>
      <c r="R46" s="46">
        <f t="shared" si="17"/>
        <v>0</v>
      </c>
    </row>
    <row r="47" spans="2:23" x14ac:dyDescent="0.3">
      <c r="B47" s="61"/>
      <c r="C47" s="61"/>
      <c r="D47" s="44">
        <f t="shared" si="12"/>
        <v>0</v>
      </c>
      <c r="E47" s="45"/>
      <c r="F47" s="46">
        <f t="shared" si="13"/>
        <v>0</v>
      </c>
      <c r="H47" s="61"/>
      <c r="I47" s="61"/>
      <c r="J47" s="44">
        <f t="shared" si="14"/>
        <v>0</v>
      </c>
      <c r="K47" s="45"/>
      <c r="L47" s="46">
        <f t="shared" si="15"/>
        <v>0</v>
      </c>
      <c r="N47" s="61"/>
      <c r="O47" s="61"/>
      <c r="P47" s="44">
        <f t="shared" si="16"/>
        <v>0</v>
      </c>
      <c r="Q47" s="45"/>
      <c r="R47" s="46">
        <f t="shared" si="17"/>
        <v>0</v>
      </c>
    </row>
    <row r="48" spans="2:23" x14ac:dyDescent="0.3">
      <c r="B48" s="61"/>
      <c r="C48" s="61"/>
      <c r="D48" s="44">
        <f t="shared" si="12"/>
        <v>0</v>
      </c>
      <c r="E48" s="45"/>
      <c r="F48" s="46">
        <f t="shared" si="13"/>
        <v>0</v>
      </c>
      <c r="H48" s="61"/>
      <c r="I48" s="61"/>
      <c r="J48" s="44">
        <f t="shared" si="14"/>
        <v>0</v>
      </c>
      <c r="K48" s="45"/>
      <c r="L48" s="46">
        <f t="shared" si="15"/>
        <v>0</v>
      </c>
      <c r="N48" s="61"/>
      <c r="O48" s="61"/>
      <c r="P48" s="44">
        <f t="shared" si="16"/>
        <v>0</v>
      </c>
      <c r="Q48" s="45"/>
      <c r="R48" s="46">
        <f t="shared" si="17"/>
        <v>0</v>
      </c>
    </row>
    <row r="49" spans="2:23" x14ac:dyDescent="0.3">
      <c r="B49" s="61"/>
      <c r="C49" s="61"/>
      <c r="D49" s="44">
        <f t="shared" si="12"/>
        <v>0</v>
      </c>
      <c r="E49" s="45"/>
      <c r="F49" s="46">
        <f t="shared" si="13"/>
        <v>0</v>
      </c>
      <c r="H49" s="61"/>
      <c r="I49" s="61"/>
      <c r="J49" s="44">
        <f t="shared" si="14"/>
        <v>0</v>
      </c>
      <c r="K49" s="45"/>
      <c r="L49" s="46">
        <f t="shared" si="15"/>
        <v>0</v>
      </c>
      <c r="N49" s="61"/>
      <c r="O49" s="61"/>
      <c r="P49" s="44">
        <f t="shared" si="16"/>
        <v>0</v>
      </c>
      <c r="Q49" s="45"/>
      <c r="R49" s="46">
        <f t="shared" si="17"/>
        <v>0</v>
      </c>
    </row>
    <row r="50" spans="2:23" ht="4.5" customHeight="1" x14ac:dyDescent="0.3"/>
    <row r="51" spans="2:23" x14ac:dyDescent="0.3">
      <c r="C51" s="48" t="s">
        <v>46</v>
      </c>
      <c r="D51" s="62">
        <f>SUM(D41:D49)</f>
        <v>0</v>
      </c>
      <c r="F51" s="49">
        <f>SUM(F41:F49)</f>
        <v>0</v>
      </c>
      <c r="I51" s="48" t="s">
        <v>46</v>
      </c>
      <c r="J51" s="62">
        <f>SUM(J41:J49)</f>
        <v>0</v>
      </c>
      <c r="L51" s="49">
        <f>SUM(L41:L49)</f>
        <v>0</v>
      </c>
      <c r="O51" s="48" t="s">
        <v>46</v>
      </c>
      <c r="P51" s="62">
        <f>SUM(P41:P49)</f>
        <v>0</v>
      </c>
      <c r="R51" s="49">
        <f>SUM(R41:R49)</f>
        <v>0</v>
      </c>
    </row>
    <row r="52" spans="2:23" ht="3.75" customHeight="1" x14ac:dyDescent="0.3"/>
    <row r="53" spans="2:23" x14ac:dyDescent="0.3">
      <c r="E53" s="50" t="s">
        <v>45</v>
      </c>
      <c r="F53" s="51">
        <f>IF(D51=0,0,F51/D51)</f>
        <v>0</v>
      </c>
      <c r="K53" s="50" t="s">
        <v>45</v>
      </c>
      <c r="L53" s="51">
        <f>IF(J51=0,0,L51/J51)</f>
        <v>0</v>
      </c>
      <c r="Q53" s="50" t="s">
        <v>45</v>
      </c>
      <c r="R53" s="51">
        <f>IF(P51=0,0,R51/P51)</f>
        <v>0</v>
      </c>
    </row>
    <row r="55" spans="2:23" x14ac:dyDescent="0.3">
      <c r="B55" s="59" t="s">
        <v>191</v>
      </c>
      <c r="C55" s="523"/>
      <c r="D55" s="523"/>
      <c r="E55" s="523"/>
      <c r="F55" s="523"/>
      <c r="H55" s="59" t="s">
        <v>191</v>
      </c>
      <c r="I55" s="523"/>
      <c r="J55" s="523"/>
      <c r="K55" s="523"/>
      <c r="L55" s="523"/>
      <c r="N55" s="59" t="s">
        <v>191</v>
      </c>
      <c r="O55" s="523"/>
      <c r="P55" s="523"/>
      <c r="Q55" s="523"/>
      <c r="R55" s="523"/>
      <c r="U55" s="46" t="str">
        <f>IF(C55&gt;"",C55,"")</f>
        <v/>
      </c>
      <c r="V55" s="46" t="str">
        <f>IF(I55&gt;"",I55,"")</f>
        <v/>
      </c>
      <c r="W55" s="46" t="str">
        <f>IF(O55&gt;"",O55,"")</f>
        <v/>
      </c>
    </row>
    <row r="56" spans="2:23" ht="4.5" customHeight="1" x14ac:dyDescent="0.3"/>
    <row r="57" spans="2:23" x14ac:dyDescent="0.3">
      <c r="B57" s="40" t="s">
        <v>184</v>
      </c>
      <c r="C57" s="40" t="s">
        <v>185</v>
      </c>
      <c r="D57" s="41"/>
      <c r="E57" s="42" t="s">
        <v>186</v>
      </c>
      <c r="F57" s="41"/>
      <c r="H57" s="40" t="s">
        <v>184</v>
      </c>
      <c r="I57" s="40" t="s">
        <v>185</v>
      </c>
      <c r="J57" s="41"/>
      <c r="K57" s="42" t="s">
        <v>186</v>
      </c>
      <c r="L57" s="41"/>
      <c r="N57" s="40" t="s">
        <v>184</v>
      </c>
      <c r="O57" s="40" t="s">
        <v>185</v>
      </c>
      <c r="P57" s="41"/>
      <c r="Q57" s="42" t="s">
        <v>186</v>
      </c>
      <c r="R57" s="41"/>
    </row>
    <row r="58" spans="2:23" x14ac:dyDescent="0.3">
      <c r="B58" s="60"/>
      <c r="C58" s="60"/>
      <c r="D58" s="44">
        <f t="shared" ref="D58:D66" si="18">IF(C58="",0,C58-B58+1)</f>
        <v>0</v>
      </c>
      <c r="E58" s="45"/>
      <c r="F58" s="46">
        <f t="shared" ref="F58:F66" si="19">+D58*E58</f>
        <v>0</v>
      </c>
      <c r="H58" s="60"/>
      <c r="I58" s="60"/>
      <c r="J58" s="44">
        <f t="shared" ref="J58:J66" si="20">IF(I58="",0,I58-H58+1)</f>
        <v>0</v>
      </c>
      <c r="K58" s="45"/>
      <c r="L58" s="46">
        <f t="shared" ref="L58:L66" si="21">+J58*K58</f>
        <v>0</v>
      </c>
      <c r="N58" s="60"/>
      <c r="O58" s="60"/>
      <c r="P58" s="44">
        <f t="shared" ref="P58:P66" si="22">IF(O58="",0,O58-N58+1)</f>
        <v>0</v>
      </c>
      <c r="Q58" s="45"/>
      <c r="R58" s="46">
        <f t="shared" ref="R58:R66" si="23">+P58*Q58</f>
        <v>0</v>
      </c>
    </row>
    <row r="59" spans="2:23" x14ac:dyDescent="0.3">
      <c r="B59" s="60"/>
      <c r="C59" s="60"/>
      <c r="D59" s="44">
        <f t="shared" si="18"/>
        <v>0</v>
      </c>
      <c r="E59" s="45"/>
      <c r="F59" s="46">
        <f t="shared" si="19"/>
        <v>0</v>
      </c>
      <c r="H59" s="60"/>
      <c r="I59" s="60"/>
      <c r="J59" s="44">
        <f t="shared" si="20"/>
        <v>0</v>
      </c>
      <c r="K59" s="45"/>
      <c r="L59" s="46">
        <f t="shared" si="21"/>
        <v>0</v>
      </c>
      <c r="N59" s="60"/>
      <c r="O59" s="60"/>
      <c r="P59" s="44">
        <f t="shared" si="22"/>
        <v>0</v>
      </c>
      <c r="Q59" s="45"/>
      <c r="R59" s="46">
        <f t="shared" si="23"/>
        <v>0</v>
      </c>
    </row>
    <row r="60" spans="2:23" x14ac:dyDescent="0.3">
      <c r="B60" s="60"/>
      <c r="C60" s="60"/>
      <c r="D60" s="44">
        <f t="shared" si="18"/>
        <v>0</v>
      </c>
      <c r="E60" s="45"/>
      <c r="F60" s="46">
        <f t="shared" si="19"/>
        <v>0</v>
      </c>
      <c r="H60" s="60"/>
      <c r="I60" s="60"/>
      <c r="J60" s="44">
        <f t="shared" si="20"/>
        <v>0</v>
      </c>
      <c r="K60" s="45"/>
      <c r="L60" s="46">
        <f t="shared" si="21"/>
        <v>0</v>
      </c>
      <c r="N60" s="60"/>
      <c r="O60" s="60"/>
      <c r="P60" s="44">
        <f t="shared" si="22"/>
        <v>0</v>
      </c>
      <c r="Q60" s="45"/>
      <c r="R60" s="46">
        <f t="shared" si="23"/>
        <v>0</v>
      </c>
    </row>
    <row r="61" spans="2:23" x14ac:dyDescent="0.3">
      <c r="B61" s="60"/>
      <c r="C61" s="60"/>
      <c r="D61" s="44">
        <f t="shared" si="18"/>
        <v>0</v>
      </c>
      <c r="E61" s="45"/>
      <c r="F61" s="46">
        <f t="shared" si="19"/>
        <v>0</v>
      </c>
      <c r="H61" s="60"/>
      <c r="I61" s="60"/>
      <c r="J61" s="44">
        <f t="shared" si="20"/>
        <v>0</v>
      </c>
      <c r="K61" s="45"/>
      <c r="L61" s="46">
        <f t="shared" si="21"/>
        <v>0</v>
      </c>
      <c r="N61" s="60"/>
      <c r="O61" s="60"/>
      <c r="P61" s="44">
        <f t="shared" si="22"/>
        <v>0</v>
      </c>
      <c r="Q61" s="45"/>
      <c r="R61" s="46">
        <f t="shared" si="23"/>
        <v>0</v>
      </c>
    </row>
    <row r="62" spans="2:23" x14ac:dyDescent="0.3">
      <c r="B62" s="60"/>
      <c r="C62" s="60"/>
      <c r="D62" s="44">
        <f t="shared" si="18"/>
        <v>0</v>
      </c>
      <c r="E62" s="45"/>
      <c r="F62" s="46">
        <f t="shared" si="19"/>
        <v>0</v>
      </c>
      <c r="H62" s="60"/>
      <c r="I62" s="60"/>
      <c r="J62" s="44">
        <f t="shared" si="20"/>
        <v>0</v>
      </c>
      <c r="K62" s="45"/>
      <c r="L62" s="46">
        <f t="shared" si="21"/>
        <v>0</v>
      </c>
      <c r="N62" s="60"/>
      <c r="O62" s="60"/>
      <c r="P62" s="44">
        <f t="shared" si="22"/>
        <v>0</v>
      </c>
      <c r="Q62" s="45"/>
      <c r="R62" s="46">
        <f t="shared" si="23"/>
        <v>0</v>
      </c>
    </row>
    <row r="63" spans="2:23" x14ac:dyDescent="0.3">
      <c r="B63" s="60"/>
      <c r="C63" s="60"/>
      <c r="D63" s="44">
        <f t="shared" si="18"/>
        <v>0</v>
      </c>
      <c r="E63" s="45"/>
      <c r="F63" s="46">
        <f t="shared" si="19"/>
        <v>0</v>
      </c>
      <c r="H63" s="60"/>
      <c r="I63" s="60"/>
      <c r="J63" s="44">
        <f t="shared" si="20"/>
        <v>0</v>
      </c>
      <c r="K63" s="45"/>
      <c r="L63" s="46">
        <f t="shared" si="21"/>
        <v>0</v>
      </c>
      <c r="N63" s="60"/>
      <c r="O63" s="60"/>
      <c r="P63" s="44">
        <f t="shared" si="22"/>
        <v>0</v>
      </c>
      <c r="Q63" s="45"/>
      <c r="R63" s="46">
        <f t="shared" si="23"/>
        <v>0</v>
      </c>
    </row>
    <row r="64" spans="2:23" x14ac:dyDescent="0.3">
      <c r="B64" s="61"/>
      <c r="C64" s="61"/>
      <c r="D64" s="44">
        <f t="shared" si="18"/>
        <v>0</v>
      </c>
      <c r="E64" s="45"/>
      <c r="F64" s="46">
        <f t="shared" si="19"/>
        <v>0</v>
      </c>
      <c r="H64" s="61"/>
      <c r="I64" s="61"/>
      <c r="J64" s="44">
        <f t="shared" si="20"/>
        <v>0</v>
      </c>
      <c r="K64" s="45"/>
      <c r="L64" s="46">
        <f t="shared" si="21"/>
        <v>0</v>
      </c>
      <c r="N64" s="61"/>
      <c r="O64" s="61"/>
      <c r="P64" s="44">
        <f t="shared" si="22"/>
        <v>0</v>
      </c>
      <c r="Q64" s="45"/>
      <c r="R64" s="46">
        <f t="shared" si="23"/>
        <v>0</v>
      </c>
    </row>
    <row r="65" spans="2:23" x14ac:dyDescent="0.3">
      <c r="B65" s="61"/>
      <c r="C65" s="61"/>
      <c r="D65" s="44">
        <f t="shared" si="18"/>
        <v>0</v>
      </c>
      <c r="E65" s="45"/>
      <c r="F65" s="46">
        <f t="shared" si="19"/>
        <v>0</v>
      </c>
      <c r="H65" s="61"/>
      <c r="I65" s="61"/>
      <c r="J65" s="44">
        <f t="shared" si="20"/>
        <v>0</v>
      </c>
      <c r="K65" s="45"/>
      <c r="L65" s="46">
        <f t="shared" si="21"/>
        <v>0</v>
      </c>
      <c r="N65" s="61"/>
      <c r="O65" s="61"/>
      <c r="P65" s="44">
        <f t="shared" si="22"/>
        <v>0</v>
      </c>
      <c r="Q65" s="45"/>
      <c r="R65" s="46">
        <f t="shared" si="23"/>
        <v>0</v>
      </c>
    </row>
    <row r="66" spans="2:23" x14ac:dyDescent="0.3">
      <c r="B66" s="61"/>
      <c r="C66" s="61"/>
      <c r="D66" s="44">
        <f t="shared" si="18"/>
        <v>0</v>
      </c>
      <c r="E66" s="45"/>
      <c r="F66" s="46">
        <f t="shared" si="19"/>
        <v>0</v>
      </c>
      <c r="H66" s="61"/>
      <c r="I66" s="61"/>
      <c r="J66" s="44">
        <f t="shared" si="20"/>
        <v>0</v>
      </c>
      <c r="K66" s="45"/>
      <c r="L66" s="46">
        <f t="shared" si="21"/>
        <v>0</v>
      </c>
      <c r="N66" s="61"/>
      <c r="O66" s="61"/>
      <c r="P66" s="44">
        <f t="shared" si="22"/>
        <v>0</v>
      </c>
      <c r="Q66" s="45"/>
      <c r="R66" s="46">
        <f t="shared" si="23"/>
        <v>0</v>
      </c>
    </row>
    <row r="67" spans="2:23" ht="4.5" customHeight="1" x14ac:dyDescent="0.3"/>
    <row r="68" spans="2:23" x14ac:dyDescent="0.3">
      <c r="C68" s="48" t="s">
        <v>46</v>
      </c>
      <c r="D68" s="62">
        <f>SUM(D58:D66)</f>
        <v>0</v>
      </c>
      <c r="F68" s="49">
        <f>SUM(F58:F66)</f>
        <v>0</v>
      </c>
      <c r="I68" s="48" t="s">
        <v>46</v>
      </c>
      <c r="J68" s="62">
        <f>SUM(J58:J66)</f>
        <v>0</v>
      </c>
      <c r="L68" s="49">
        <f>SUM(L58:L66)</f>
        <v>0</v>
      </c>
      <c r="O68" s="48" t="s">
        <v>46</v>
      </c>
      <c r="P68" s="62">
        <f>SUM(P58:P66)</f>
        <v>0</v>
      </c>
      <c r="R68" s="49">
        <f>SUM(R58:R66)</f>
        <v>0</v>
      </c>
    </row>
    <row r="69" spans="2:23" ht="3.75" customHeight="1" x14ac:dyDescent="0.3"/>
    <row r="70" spans="2:23" x14ac:dyDescent="0.3">
      <c r="E70" s="50" t="s">
        <v>45</v>
      </c>
      <c r="F70" s="51">
        <f>IF(D68=0,0,F68/D68)</f>
        <v>0</v>
      </c>
      <c r="K70" s="50" t="s">
        <v>45</v>
      </c>
      <c r="L70" s="51">
        <f>IF(J68=0,0,L68/J68)</f>
        <v>0</v>
      </c>
      <c r="Q70" s="50" t="s">
        <v>45</v>
      </c>
      <c r="R70" s="51">
        <f>IF(P68=0,0,R68/P68)</f>
        <v>0</v>
      </c>
    </row>
    <row r="72" spans="2:23" x14ac:dyDescent="0.3">
      <c r="B72" s="59" t="s">
        <v>191</v>
      </c>
      <c r="C72" s="523"/>
      <c r="D72" s="523"/>
      <c r="E72" s="523"/>
      <c r="F72" s="523"/>
      <c r="H72" s="59" t="s">
        <v>191</v>
      </c>
      <c r="I72" s="523"/>
      <c r="J72" s="523"/>
      <c r="K72" s="523"/>
      <c r="L72" s="523"/>
      <c r="N72" s="59" t="s">
        <v>191</v>
      </c>
      <c r="O72" s="523"/>
      <c r="P72" s="523"/>
      <c r="Q72" s="523"/>
      <c r="R72" s="523"/>
      <c r="U72" s="46" t="str">
        <f>IF(C72&gt;"",C72,"")</f>
        <v/>
      </c>
      <c r="V72" s="46" t="str">
        <f>IF(I72&gt;"",I72,"")</f>
        <v/>
      </c>
      <c r="W72" s="46" t="str">
        <f>IF(O72&gt;"",O72,"")</f>
        <v/>
      </c>
    </row>
    <row r="73" spans="2:23" ht="4.5" customHeight="1" x14ac:dyDescent="0.3"/>
    <row r="74" spans="2:23" x14ac:dyDescent="0.3">
      <c r="B74" s="40" t="s">
        <v>184</v>
      </c>
      <c r="C74" s="40" t="s">
        <v>185</v>
      </c>
      <c r="D74" s="41"/>
      <c r="E74" s="42" t="s">
        <v>186</v>
      </c>
      <c r="F74" s="41"/>
      <c r="H74" s="40" t="s">
        <v>184</v>
      </c>
      <c r="I74" s="40" t="s">
        <v>185</v>
      </c>
      <c r="J74" s="41"/>
      <c r="K74" s="42" t="s">
        <v>186</v>
      </c>
      <c r="L74" s="41"/>
      <c r="N74" s="40" t="s">
        <v>184</v>
      </c>
      <c r="O74" s="40" t="s">
        <v>185</v>
      </c>
      <c r="P74" s="41"/>
      <c r="Q74" s="42" t="s">
        <v>186</v>
      </c>
      <c r="R74" s="41"/>
    </row>
    <row r="75" spans="2:23" x14ac:dyDescent="0.3">
      <c r="B75" s="60"/>
      <c r="C75" s="60"/>
      <c r="D75" s="44">
        <f t="shared" ref="D75:D83" si="24">IF(C75="",0,C75-B75+1)</f>
        <v>0</v>
      </c>
      <c r="E75" s="45"/>
      <c r="F75" s="46">
        <f t="shared" ref="F75:F83" si="25">+D75*E75</f>
        <v>0</v>
      </c>
      <c r="H75" s="60"/>
      <c r="I75" s="60"/>
      <c r="J75" s="44">
        <f t="shared" ref="J75:J83" si="26">IF(I75="",0,I75-H75+1)</f>
        <v>0</v>
      </c>
      <c r="K75" s="45"/>
      <c r="L75" s="46">
        <f t="shared" ref="L75:L83" si="27">+J75*K75</f>
        <v>0</v>
      </c>
      <c r="N75" s="60"/>
      <c r="O75" s="60"/>
      <c r="P75" s="44">
        <f t="shared" ref="P75:P83" si="28">IF(O75="",0,O75-N75+1)</f>
        <v>0</v>
      </c>
      <c r="Q75" s="45"/>
      <c r="R75" s="46">
        <f t="shared" ref="R75:R83" si="29">+P75*Q75</f>
        <v>0</v>
      </c>
    </row>
    <row r="76" spans="2:23" x14ac:dyDescent="0.3">
      <c r="B76" s="60"/>
      <c r="C76" s="60"/>
      <c r="D76" s="44">
        <f t="shared" si="24"/>
        <v>0</v>
      </c>
      <c r="E76" s="45"/>
      <c r="F76" s="46">
        <f t="shared" si="25"/>
        <v>0</v>
      </c>
      <c r="H76" s="60"/>
      <c r="I76" s="60"/>
      <c r="J76" s="44">
        <f t="shared" si="26"/>
        <v>0</v>
      </c>
      <c r="K76" s="45"/>
      <c r="L76" s="46">
        <f t="shared" si="27"/>
        <v>0</v>
      </c>
      <c r="N76" s="60"/>
      <c r="O76" s="60"/>
      <c r="P76" s="44">
        <f t="shared" si="28"/>
        <v>0</v>
      </c>
      <c r="Q76" s="45"/>
      <c r="R76" s="46">
        <f t="shared" si="29"/>
        <v>0</v>
      </c>
    </row>
    <row r="77" spans="2:23" x14ac:dyDescent="0.3">
      <c r="B77" s="60"/>
      <c r="C77" s="60"/>
      <c r="D77" s="44">
        <f t="shared" si="24"/>
        <v>0</v>
      </c>
      <c r="E77" s="45"/>
      <c r="F77" s="46">
        <f t="shared" si="25"/>
        <v>0</v>
      </c>
      <c r="H77" s="60"/>
      <c r="I77" s="60"/>
      <c r="J77" s="44">
        <f t="shared" si="26"/>
        <v>0</v>
      </c>
      <c r="K77" s="45"/>
      <c r="L77" s="46">
        <f t="shared" si="27"/>
        <v>0</v>
      </c>
      <c r="N77" s="60"/>
      <c r="O77" s="60"/>
      <c r="P77" s="44">
        <f t="shared" si="28"/>
        <v>0</v>
      </c>
      <c r="Q77" s="45"/>
      <c r="R77" s="46">
        <f t="shared" si="29"/>
        <v>0</v>
      </c>
    </row>
    <row r="78" spans="2:23" x14ac:dyDescent="0.3">
      <c r="B78" s="60"/>
      <c r="C78" s="60"/>
      <c r="D78" s="44">
        <f t="shared" si="24"/>
        <v>0</v>
      </c>
      <c r="E78" s="45"/>
      <c r="F78" s="46">
        <f t="shared" si="25"/>
        <v>0</v>
      </c>
      <c r="H78" s="60"/>
      <c r="I78" s="60"/>
      <c r="J78" s="44">
        <f t="shared" si="26"/>
        <v>0</v>
      </c>
      <c r="K78" s="45"/>
      <c r="L78" s="46">
        <f t="shared" si="27"/>
        <v>0</v>
      </c>
      <c r="N78" s="60"/>
      <c r="O78" s="60"/>
      <c r="P78" s="44">
        <f t="shared" si="28"/>
        <v>0</v>
      </c>
      <c r="Q78" s="45"/>
      <c r="R78" s="46">
        <f t="shared" si="29"/>
        <v>0</v>
      </c>
    </row>
    <row r="79" spans="2:23" x14ac:dyDescent="0.3">
      <c r="B79" s="60"/>
      <c r="C79" s="60"/>
      <c r="D79" s="44">
        <f t="shared" si="24"/>
        <v>0</v>
      </c>
      <c r="E79" s="45"/>
      <c r="F79" s="46">
        <f t="shared" si="25"/>
        <v>0</v>
      </c>
      <c r="H79" s="60"/>
      <c r="I79" s="60"/>
      <c r="J79" s="44">
        <f t="shared" si="26"/>
        <v>0</v>
      </c>
      <c r="K79" s="45"/>
      <c r="L79" s="46">
        <f t="shared" si="27"/>
        <v>0</v>
      </c>
      <c r="N79" s="60"/>
      <c r="O79" s="60"/>
      <c r="P79" s="44">
        <f t="shared" si="28"/>
        <v>0</v>
      </c>
      <c r="Q79" s="45"/>
      <c r="R79" s="46">
        <f t="shared" si="29"/>
        <v>0</v>
      </c>
    </row>
    <row r="80" spans="2:23" x14ac:dyDescent="0.3">
      <c r="B80" s="60"/>
      <c r="C80" s="60"/>
      <c r="D80" s="44">
        <f t="shared" si="24"/>
        <v>0</v>
      </c>
      <c r="E80" s="45"/>
      <c r="F80" s="46">
        <f t="shared" si="25"/>
        <v>0</v>
      </c>
      <c r="H80" s="60"/>
      <c r="I80" s="60"/>
      <c r="J80" s="44">
        <f t="shared" si="26"/>
        <v>0</v>
      </c>
      <c r="K80" s="45"/>
      <c r="L80" s="46">
        <f t="shared" si="27"/>
        <v>0</v>
      </c>
      <c r="N80" s="60"/>
      <c r="O80" s="60"/>
      <c r="P80" s="44">
        <f t="shared" si="28"/>
        <v>0</v>
      </c>
      <c r="Q80" s="45"/>
      <c r="R80" s="46">
        <f t="shared" si="29"/>
        <v>0</v>
      </c>
    </row>
    <row r="81" spans="2:23" x14ac:dyDescent="0.3">
      <c r="B81" s="61"/>
      <c r="C81" s="61"/>
      <c r="D81" s="44">
        <f t="shared" si="24"/>
        <v>0</v>
      </c>
      <c r="E81" s="45"/>
      <c r="F81" s="46">
        <f t="shared" si="25"/>
        <v>0</v>
      </c>
      <c r="H81" s="61"/>
      <c r="I81" s="61"/>
      <c r="J81" s="44">
        <f t="shared" si="26"/>
        <v>0</v>
      </c>
      <c r="K81" s="45"/>
      <c r="L81" s="46">
        <f t="shared" si="27"/>
        <v>0</v>
      </c>
      <c r="N81" s="61"/>
      <c r="O81" s="61"/>
      <c r="P81" s="44">
        <f t="shared" si="28"/>
        <v>0</v>
      </c>
      <c r="Q81" s="45"/>
      <c r="R81" s="46">
        <f t="shared" si="29"/>
        <v>0</v>
      </c>
    </row>
    <row r="82" spans="2:23" x14ac:dyDescent="0.3">
      <c r="B82" s="61"/>
      <c r="C82" s="61"/>
      <c r="D82" s="44">
        <f t="shared" si="24"/>
        <v>0</v>
      </c>
      <c r="E82" s="45"/>
      <c r="F82" s="46">
        <f t="shared" si="25"/>
        <v>0</v>
      </c>
      <c r="H82" s="61"/>
      <c r="I82" s="61"/>
      <c r="J82" s="44">
        <f t="shared" si="26"/>
        <v>0</v>
      </c>
      <c r="K82" s="45"/>
      <c r="L82" s="46">
        <f t="shared" si="27"/>
        <v>0</v>
      </c>
      <c r="N82" s="61"/>
      <c r="O82" s="61"/>
      <c r="P82" s="44">
        <f t="shared" si="28"/>
        <v>0</v>
      </c>
      <c r="Q82" s="45"/>
      <c r="R82" s="46">
        <f t="shared" si="29"/>
        <v>0</v>
      </c>
    </row>
    <row r="83" spans="2:23" x14ac:dyDescent="0.3">
      <c r="B83" s="61"/>
      <c r="C83" s="61"/>
      <c r="D83" s="44">
        <f t="shared" si="24"/>
        <v>0</v>
      </c>
      <c r="E83" s="45"/>
      <c r="F83" s="46">
        <f t="shared" si="25"/>
        <v>0</v>
      </c>
      <c r="H83" s="61"/>
      <c r="I83" s="61"/>
      <c r="J83" s="44">
        <f t="shared" si="26"/>
        <v>0</v>
      </c>
      <c r="K83" s="45"/>
      <c r="L83" s="46">
        <f t="shared" si="27"/>
        <v>0</v>
      </c>
      <c r="N83" s="61"/>
      <c r="O83" s="61"/>
      <c r="P83" s="44">
        <f t="shared" si="28"/>
        <v>0</v>
      </c>
      <c r="Q83" s="45"/>
      <c r="R83" s="46">
        <f t="shared" si="29"/>
        <v>0</v>
      </c>
    </row>
    <row r="84" spans="2:23" ht="4.5" customHeight="1" x14ac:dyDescent="0.3">
      <c r="N84" s="64"/>
      <c r="O84" s="64"/>
    </row>
    <row r="85" spans="2:23" x14ac:dyDescent="0.3">
      <c r="C85" s="48" t="s">
        <v>46</v>
      </c>
      <c r="D85" s="62">
        <f>SUM(D75:D83)</f>
        <v>0</v>
      </c>
      <c r="F85" s="49">
        <f>SUM(F75:F83)</f>
        <v>0</v>
      </c>
      <c r="I85" s="48" t="s">
        <v>46</v>
      </c>
      <c r="J85" s="62">
        <f>SUM(J75:J83)</f>
        <v>0</v>
      </c>
      <c r="L85" s="49">
        <f>SUM(L75:L83)</f>
        <v>0</v>
      </c>
      <c r="O85" s="48" t="s">
        <v>46</v>
      </c>
      <c r="P85" s="62">
        <f>SUM(P75:P83)</f>
        <v>0</v>
      </c>
      <c r="R85" s="49">
        <f>SUM(R75:R83)</f>
        <v>0</v>
      </c>
    </row>
    <row r="86" spans="2:23" ht="3.75" customHeight="1" x14ac:dyDescent="0.3"/>
    <row r="87" spans="2:23" x14ac:dyDescent="0.3">
      <c r="E87" s="50" t="s">
        <v>45</v>
      </c>
      <c r="F87" s="51">
        <f>IF(D85=0,0,F85/D85)</f>
        <v>0</v>
      </c>
      <c r="K87" s="50" t="s">
        <v>45</v>
      </c>
      <c r="L87" s="51">
        <f>IF(J85=0,0,L85/J85)</f>
        <v>0</v>
      </c>
      <c r="Q87" s="50" t="s">
        <v>45</v>
      </c>
      <c r="R87" s="51">
        <f>IF(P85=0,0,R85/P85)</f>
        <v>0</v>
      </c>
    </row>
    <row r="89" spans="2:23" x14ac:dyDescent="0.3">
      <c r="B89" s="59" t="s">
        <v>191</v>
      </c>
      <c r="C89" s="523"/>
      <c r="D89" s="523"/>
      <c r="E89" s="523"/>
      <c r="F89" s="523"/>
      <c r="H89" s="59" t="s">
        <v>191</v>
      </c>
      <c r="I89" s="523"/>
      <c r="J89" s="523"/>
      <c r="K89" s="523"/>
      <c r="L89" s="523"/>
      <c r="N89" s="59" t="s">
        <v>191</v>
      </c>
      <c r="O89" s="523"/>
      <c r="P89" s="523"/>
      <c r="Q89" s="523"/>
      <c r="R89" s="523"/>
      <c r="U89" s="46" t="str">
        <f>IF(C89&gt;"",C89,"")</f>
        <v/>
      </c>
      <c r="V89" s="46" t="str">
        <f>IF(I89&gt;"",I89,"")</f>
        <v/>
      </c>
      <c r="W89" s="46" t="str">
        <f>IF(O89&gt;"",O89,"")</f>
        <v/>
      </c>
    </row>
    <row r="90" spans="2:23" ht="4.5" customHeight="1" x14ac:dyDescent="0.3"/>
    <row r="91" spans="2:23" x14ac:dyDescent="0.3">
      <c r="B91" s="40" t="s">
        <v>184</v>
      </c>
      <c r="C91" s="40" t="s">
        <v>185</v>
      </c>
      <c r="D91" s="41"/>
      <c r="E91" s="42" t="s">
        <v>186</v>
      </c>
      <c r="F91" s="41"/>
      <c r="H91" s="40" t="s">
        <v>184</v>
      </c>
      <c r="I91" s="40" t="s">
        <v>185</v>
      </c>
      <c r="J91" s="41"/>
      <c r="K91" s="42" t="s">
        <v>186</v>
      </c>
      <c r="L91" s="41"/>
      <c r="N91" s="40" t="s">
        <v>184</v>
      </c>
      <c r="O91" s="40" t="s">
        <v>185</v>
      </c>
      <c r="P91" s="41"/>
      <c r="Q91" s="42" t="s">
        <v>186</v>
      </c>
      <c r="R91" s="41"/>
    </row>
    <row r="92" spans="2:23" x14ac:dyDescent="0.3">
      <c r="B92" s="60"/>
      <c r="C92" s="60"/>
      <c r="D92" s="44">
        <f t="shared" ref="D92:D100" si="30">IF(C92="",0,C92-B92+1)</f>
        <v>0</v>
      </c>
      <c r="E92" s="45"/>
      <c r="F92" s="46">
        <f t="shared" ref="F92:F100" si="31">+D92*E92</f>
        <v>0</v>
      </c>
      <c r="H92" s="60"/>
      <c r="I92" s="60"/>
      <c r="J92" s="44">
        <f t="shared" ref="J92:J100" si="32">IF(I92="",0,I92-H92+1)</f>
        <v>0</v>
      </c>
      <c r="K92" s="45"/>
      <c r="L92" s="46">
        <f t="shared" ref="L92:L100" si="33">+J92*K92</f>
        <v>0</v>
      </c>
      <c r="N92" s="60"/>
      <c r="O92" s="60"/>
      <c r="P92" s="44">
        <f t="shared" ref="P92:P100" si="34">IF(O92="",0,O92-N92+1)</f>
        <v>0</v>
      </c>
      <c r="Q92" s="45"/>
      <c r="R92" s="46">
        <f t="shared" ref="R92:R100" si="35">+P92*Q92</f>
        <v>0</v>
      </c>
    </row>
    <row r="93" spans="2:23" x14ac:dyDescent="0.3">
      <c r="B93" s="60"/>
      <c r="C93" s="60"/>
      <c r="D93" s="44">
        <f t="shared" si="30"/>
        <v>0</v>
      </c>
      <c r="E93" s="45"/>
      <c r="F93" s="46">
        <f t="shared" si="31"/>
        <v>0</v>
      </c>
      <c r="H93" s="60"/>
      <c r="I93" s="60"/>
      <c r="J93" s="44">
        <f t="shared" si="32"/>
        <v>0</v>
      </c>
      <c r="K93" s="45"/>
      <c r="L93" s="46">
        <f t="shared" si="33"/>
        <v>0</v>
      </c>
      <c r="N93" s="60"/>
      <c r="O93" s="60"/>
      <c r="P93" s="44">
        <f t="shared" si="34"/>
        <v>0</v>
      </c>
      <c r="Q93" s="45"/>
      <c r="R93" s="46">
        <f t="shared" si="35"/>
        <v>0</v>
      </c>
    </row>
    <row r="94" spans="2:23" x14ac:dyDescent="0.3">
      <c r="B94" s="60"/>
      <c r="C94" s="60"/>
      <c r="D94" s="44">
        <f t="shared" si="30"/>
        <v>0</v>
      </c>
      <c r="E94" s="45"/>
      <c r="F94" s="46">
        <f t="shared" si="31"/>
        <v>0</v>
      </c>
      <c r="H94" s="60"/>
      <c r="I94" s="60"/>
      <c r="J94" s="44">
        <f t="shared" si="32"/>
        <v>0</v>
      </c>
      <c r="K94" s="45"/>
      <c r="L94" s="46">
        <f t="shared" si="33"/>
        <v>0</v>
      </c>
      <c r="N94" s="60"/>
      <c r="O94" s="60"/>
      <c r="P94" s="44">
        <f t="shared" si="34"/>
        <v>0</v>
      </c>
      <c r="Q94" s="45"/>
      <c r="R94" s="46">
        <f t="shared" si="35"/>
        <v>0</v>
      </c>
    </row>
    <row r="95" spans="2:23" x14ac:dyDescent="0.3">
      <c r="B95" s="60"/>
      <c r="C95" s="60"/>
      <c r="D95" s="44">
        <f t="shared" si="30"/>
        <v>0</v>
      </c>
      <c r="E95" s="45"/>
      <c r="F95" s="46">
        <f t="shared" si="31"/>
        <v>0</v>
      </c>
      <c r="H95" s="60"/>
      <c r="I95" s="60"/>
      <c r="J95" s="44">
        <f t="shared" si="32"/>
        <v>0</v>
      </c>
      <c r="K95" s="45"/>
      <c r="L95" s="46">
        <f t="shared" si="33"/>
        <v>0</v>
      </c>
      <c r="N95" s="60"/>
      <c r="O95" s="60"/>
      <c r="P95" s="44">
        <f t="shared" si="34"/>
        <v>0</v>
      </c>
      <c r="Q95" s="45"/>
      <c r="R95" s="46">
        <f t="shared" si="35"/>
        <v>0</v>
      </c>
    </row>
    <row r="96" spans="2:23" x14ac:dyDescent="0.3">
      <c r="B96" s="60"/>
      <c r="C96" s="60"/>
      <c r="D96" s="44">
        <f t="shared" si="30"/>
        <v>0</v>
      </c>
      <c r="E96" s="45"/>
      <c r="F96" s="46">
        <f t="shared" si="31"/>
        <v>0</v>
      </c>
      <c r="H96" s="60"/>
      <c r="I96" s="60"/>
      <c r="J96" s="44">
        <f t="shared" si="32"/>
        <v>0</v>
      </c>
      <c r="K96" s="45"/>
      <c r="L96" s="46">
        <f t="shared" si="33"/>
        <v>0</v>
      </c>
      <c r="N96" s="60"/>
      <c r="O96" s="60"/>
      <c r="P96" s="44">
        <f t="shared" si="34"/>
        <v>0</v>
      </c>
      <c r="Q96" s="45"/>
      <c r="R96" s="46">
        <f t="shared" si="35"/>
        <v>0</v>
      </c>
    </row>
    <row r="97" spans="2:23" x14ac:dyDescent="0.3">
      <c r="B97" s="60"/>
      <c r="C97" s="60"/>
      <c r="D97" s="44">
        <f t="shared" si="30"/>
        <v>0</v>
      </c>
      <c r="E97" s="45"/>
      <c r="F97" s="46">
        <f t="shared" si="31"/>
        <v>0</v>
      </c>
      <c r="H97" s="60"/>
      <c r="I97" s="60"/>
      <c r="J97" s="44">
        <f t="shared" si="32"/>
        <v>0</v>
      </c>
      <c r="K97" s="45"/>
      <c r="L97" s="46">
        <f t="shared" si="33"/>
        <v>0</v>
      </c>
      <c r="N97" s="60"/>
      <c r="O97" s="60"/>
      <c r="P97" s="44">
        <f t="shared" si="34"/>
        <v>0</v>
      </c>
      <c r="Q97" s="45"/>
      <c r="R97" s="46">
        <f t="shared" si="35"/>
        <v>0</v>
      </c>
    </row>
    <row r="98" spans="2:23" x14ac:dyDescent="0.3">
      <c r="B98" s="61"/>
      <c r="C98" s="61"/>
      <c r="D98" s="44">
        <f t="shared" si="30"/>
        <v>0</v>
      </c>
      <c r="E98" s="45"/>
      <c r="F98" s="46">
        <f t="shared" si="31"/>
        <v>0</v>
      </c>
      <c r="H98" s="61"/>
      <c r="I98" s="61"/>
      <c r="J98" s="44">
        <f t="shared" si="32"/>
        <v>0</v>
      </c>
      <c r="K98" s="45"/>
      <c r="L98" s="46">
        <f t="shared" si="33"/>
        <v>0</v>
      </c>
      <c r="N98" s="61"/>
      <c r="O98" s="61"/>
      <c r="P98" s="44">
        <f t="shared" si="34"/>
        <v>0</v>
      </c>
      <c r="Q98" s="45"/>
      <c r="R98" s="46">
        <f t="shared" si="35"/>
        <v>0</v>
      </c>
    </row>
    <row r="99" spans="2:23" x14ac:dyDescent="0.3">
      <c r="B99" s="61"/>
      <c r="C99" s="61"/>
      <c r="D99" s="44">
        <f t="shared" si="30"/>
        <v>0</v>
      </c>
      <c r="E99" s="45"/>
      <c r="F99" s="46">
        <f t="shared" si="31"/>
        <v>0</v>
      </c>
      <c r="H99" s="61"/>
      <c r="I99" s="61"/>
      <c r="J99" s="44">
        <f t="shared" si="32"/>
        <v>0</v>
      </c>
      <c r="K99" s="45"/>
      <c r="L99" s="46">
        <f t="shared" si="33"/>
        <v>0</v>
      </c>
      <c r="N99" s="61"/>
      <c r="O99" s="61"/>
      <c r="P99" s="44">
        <f t="shared" si="34"/>
        <v>0</v>
      </c>
      <c r="Q99" s="45"/>
      <c r="R99" s="46">
        <f t="shared" si="35"/>
        <v>0</v>
      </c>
    </row>
    <row r="100" spans="2:23" x14ac:dyDescent="0.3">
      <c r="B100" s="61"/>
      <c r="C100" s="61"/>
      <c r="D100" s="44">
        <f t="shared" si="30"/>
        <v>0</v>
      </c>
      <c r="E100" s="45"/>
      <c r="F100" s="46">
        <f t="shared" si="31"/>
        <v>0</v>
      </c>
      <c r="H100" s="61"/>
      <c r="I100" s="61"/>
      <c r="J100" s="44">
        <f t="shared" si="32"/>
        <v>0</v>
      </c>
      <c r="K100" s="45"/>
      <c r="L100" s="46">
        <f t="shared" si="33"/>
        <v>0</v>
      </c>
      <c r="N100" s="61"/>
      <c r="O100" s="61"/>
      <c r="P100" s="44">
        <f t="shared" si="34"/>
        <v>0</v>
      </c>
      <c r="Q100" s="45"/>
      <c r="R100" s="46">
        <f t="shared" si="35"/>
        <v>0</v>
      </c>
    </row>
    <row r="101" spans="2:23" ht="4.5" customHeight="1" x14ac:dyDescent="0.3"/>
    <row r="102" spans="2:23" x14ac:dyDescent="0.3">
      <c r="C102" s="48" t="s">
        <v>46</v>
      </c>
      <c r="D102" s="62">
        <f>SUM(D92:D100)</f>
        <v>0</v>
      </c>
      <c r="F102" s="49">
        <f>SUM(F92:F100)</f>
        <v>0</v>
      </c>
      <c r="I102" s="48" t="s">
        <v>46</v>
      </c>
      <c r="J102" s="62">
        <f>SUM(J92:J100)</f>
        <v>0</v>
      </c>
      <c r="L102" s="49">
        <f>SUM(L92:L100)</f>
        <v>0</v>
      </c>
      <c r="O102" s="48" t="s">
        <v>46</v>
      </c>
      <c r="P102" s="62">
        <f>SUM(P92:P100)</f>
        <v>0</v>
      </c>
      <c r="R102" s="49">
        <f>SUM(R92:R100)</f>
        <v>0</v>
      </c>
    </row>
    <row r="103" spans="2:23" ht="3.75" customHeight="1" x14ac:dyDescent="0.3"/>
    <row r="104" spans="2:23" x14ac:dyDescent="0.3">
      <c r="E104" s="50" t="s">
        <v>45</v>
      </c>
      <c r="F104" s="51">
        <f>IF(D102=0,0,F102/D102)</f>
        <v>0</v>
      </c>
      <c r="K104" s="50" t="s">
        <v>45</v>
      </c>
      <c r="L104" s="51">
        <f>IF(J102=0,0,L102/J102)</f>
        <v>0</v>
      </c>
      <c r="Q104" s="50" t="s">
        <v>45</v>
      </c>
      <c r="R104" s="51">
        <f>IF(P102=0,0,R102/P102)</f>
        <v>0</v>
      </c>
    </row>
    <row r="105" spans="2:23" ht="25.8" x14ac:dyDescent="0.5">
      <c r="B105" s="58"/>
      <c r="H105" s="58"/>
      <c r="N105" s="58"/>
    </row>
    <row r="106" spans="2:23" x14ac:dyDescent="0.3">
      <c r="B106" s="59" t="s">
        <v>191</v>
      </c>
      <c r="C106" s="523"/>
      <c r="D106" s="523"/>
      <c r="E106" s="523"/>
      <c r="F106" s="523"/>
      <c r="H106" s="59" t="s">
        <v>191</v>
      </c>
      <c r="I106" s="523"/>
      <c r="J106" s="523"/>
      <c r="K106" s="523"/>
      <c r="L106" s="523"/>
      <c r="N106" s="59" t="s">
        <v>191</v>
      </c>
      <c r="O106" s="523"/>
      <c r="P106" s="523"/>
      <c r="Q106" s="523"/>
      <c r="R106" s="523"/>
      <c r="U106" s="46" t="str">
        <f>IF(C106&gt;"",C106,"")</f>
        <v/>
      </c>
      <c r="V106" s="46" t="str">
        <f>IF(I106&gt;"",I106,"")</f>
        <v/>
      </c>
      <c r="W106" s="46" t="str">
        <f>IF(O106&gt;"",O106,"")</f>
        <v/>
      </c>
    </row>
    <row r="107" spans="2:23" ht="4.5" customHeight="1" x14ac:dyDescent="0.3"/>
    <row r="108" spans="2:23" x14ac:dyDescent="0.3">
      <c r="B108" s="40" t="s">
        <v>184</v>
      </c>
      <c r="C108" s="40" t="s">
        <v>185</v>
      </c>
      <c r="D108" s="41"/>
      <c r="E108" s="42" t="s">
        <v>186</v>
      </c>
      <c r="F108" s="41"/>
      <c r="H108" s="40" t="s">
        <v>184</v>
      </c>
      <c r="I108" s="40" t="s">
        <v>185</v>
      </c>
      <c r="J108" s="41"/>
      <c r="K108" s="42" t="s">
        <v>186</v>
      </c>
      <c r="L108" s="41"/>
      <c r="N108" s="40" t="s">
        <v>184</v>
      </c>
      <c r="O108" s="40" t="s">
        <v>185</v>
      </c>
      <c r="P108" s="41"/>
      <c r="Q108" s="42" t="s">
        <v>186</v>
      </c>
      <c r="R108" s="41"/>
    </row>
    <row r="109" spans="2:23" x14ac:dyDescent="0.3">
      <c r="B109" s="60"/>
      <c r="C109" s="60"/>
      <c r="D109" s="44">
        <f t="shared" ref="D109:D117" si="36">IF(C109="",0,C109-B109+1)</f>
        <v>0</v>
      </c>
      <c r="E109" s="45"/>
      <c r="F109" s="46">
        <f t="shared" ref="F109:F117" si="37">+D109*E109</f>
        <v>0</v>
      </c>
      <c r="H109" s="60"/>
      <c r="I109" s="60"/>
      <c r="J109" s="44">
        <f t="shared" ref="J109:J117" si="38">IF(I109="",0,I109-H109+1)</f>
        <v>0</v>
      </c>
      <c r="K109" s="45"/>
      <c r="L109" s="46">
        <f t="shared" ref="L109:L117" si="39">+J109*K109</f>
        <v>0</v>
      </c>
      <c r="N109" s="60"/>
      <c r="O109" s="60"/>
      <c r="P109" s="44">
        <f t="shared" ref="P109:P117" si="40">IF(O109="",0,O109-N109+1)</f>
        <v>0</v>
      </c>
      <c r="Q109" s="45"/>
      <c r="R109" s="46">
        <f t="shared" ref="R109:R117" si="41">+P109*Q109</f>
        <v>0</v>
      </c>
    </row>
    <row r="110" spans="2:23" x14ac:dyDescent="0.3">
      <c r="B110" s="60"/>
      <c r="C110" s="60"/>
      <c r="D110" s="44">
        <f t="shared" si="36"/>
        <v>0</v>
      </c>
      <c r="E110" s="45"/>
      <c r="F110" s="46">
        <f t="shared" si="37"/>
        <v>0</v>
      </c>
      <c r="H110" s="60"/>
      <c r="I110" s="60"/>
      <c r="J110" s="44">
        <f t="shared" si="38"/>
        <v>0</v>
      </c>
      <c r="K110" s="45"/>
      <c r="L110" s="46">
        <f t="shared" si="39"/>
        <v>0</v>
      </c>
      <c r="N110" s="60"/>
      <c r="O110" s="60"/>
      <c r="P110" s="44">
        <f t="shared" si="40"/>
        <v>0</v>
      </c>
      <c r="Q110" s="45"/>
      <c r="R110" s="46">
        <f t="shared" si="41"/>
        <v>0</v>
      </c>
    </row>
    <row r="111" spans="2:23" x14ac:dyDescent="0.3">
      <c r="B111" s="60"/>
      <c r="C111" s="60"/>
      <c r="D111" s="44">
        <f t="shared" si="36"/>
        <v>0</v>
      </c>
      <c r="E111" s="45"/>
      <c r="F111" s="46">
        <f t="shared" si="37"/>
        <v>0</v>
      </c>
      <c r="H111" s="60"/>
      <c r="I111" s="60"/>
      <c r="J111" s="44">
        <f t="shared" si="38"/>
        <v>0</v>
      </c>
      <c r="K111" s="45"/>
      <c r="L111" s="46">
        <f t="shared" si="39"/>
        <v>0</v>
      </c>
      <c r="N111" s="60"/>
      <c r="O111" s="60"/>
      <c r="P111" s="44">
        <f t="shared" si="40"/>
        <v>0</v>
      </c>
      <c r="Q111" s="45"/>
      <c r="R111" s="46">
        <f t="shared" si="41"/>
        <v>0</v>
      </c>
    </row>
    <row r="112" spans="2:23" x14ac:dyDescent="0.3">
      <c r="B112" s="60"/>
      <c r="C112" s="60"/>
      <c r="D112" s="44">
        <f t="shared" si="36"/>
        <v>0</v>
      </c>
      <c r="E112" s="45"/>
      <c r="F112" s="46">
        <f t="shared" si="37"/>
        <v>0</v>
      </c>
      <c r="H112" s="60"/>
      <c r="I112" s="60"/>
      <c r="J112" s="44">
        <f t="shared" si="38"/>
        <v>0</v>
      </c>
      <c r="K112" s="45"/>
      <c r="L112" s="46">
        <f t="shared" si="39"/>
        <v>0</v>
      </c>
      <c r="N112" s="60"/>
      <c r="O112" s="60"/>
      <c r="P112" s="44">
        <f t="shared" si="40"/>
        <v>0</v>
      </c>
      <c r="Q112" s="45"/>
      <c r="R112" s="46">
        <f t="shared" si="41"/>
        <v>0</v>
      </c>
    </row>
    <row r="113" spans="2:23" x14ac:dyDescent="0.3">
      <c r="B113" s="60"/>
      <c r="C113" s="60"/>
      <c r="D113" s="44">
        <f t="shared" si="36"/>
        <v>0</v>
      </c>
      <c r="E113" s="45"/>
      <c r="F113" s="46">
        <f t="shared" si="37"/>
        <v>0</v>
      </c>
      <c r="H113" s="60"/>
      <c r="I113" s="60"/>
      <c r="J113" s="44">
        <f t="shared" si="38"/>
        <v>0</v>
      </c>
      <c r="K113" s="45"/>
      <c r="L113" s="46">
        <f t="shared" si="39"/>
        <v>0</v>
      </c>
      <c r="N113" s="60"/>
      <c r="O113" s="60"/>
      <c r="P113" s="44">
        <f t="shared" si="40"/>
        <v>0</v>
      </c>
      <c r="Q113" s="45"/>
      <c r="R113" s="46">
        <f t="shared" si="41"/>
        <v>0</v>
      </c>
    </row>
    <row r="114" spans="2:23" x14ac:dyDescent="0.3">
      <c r="B114" s="60"/>
      <c r="C114" s="60"/>
      <c r="D114" s="44">
        <f t="shared" si="36"/>
        <v>0</v>
      </c>
      <c r="E114" s="45"/>
      <c r="F114" s="46">
        <f t="shared" si="37"/>
        <v>0</v>
      </c>
      <c r="H114" s="60"/>
      <c r="I114" s="60"/>
      <c r="J114" s="44">
        <f t="shared" si="38"/>
        <v>0</v>
      </c>
      <c r="K114" s="45"/>
      <c r="L114" s="46">
        <f t="shared" si="39"/>
        <v>0</v>
      </c>
      <c r="N114" s="60"/>
      <c r="O114" s="60"/>
      <c r="P114" s="44">
        <f t="shared" si="40"/>
        <v>0</v>
      </c>
      <c r="Q114" s="45"/>
      <c r="R114" s="46">
        <f t="shared" si="41"/>
        <v>0</v>
      </c>
    </row>
    <row r="115" spans="2:23" x14ac:dyDescent="0.3">
      <c r="B115" s="61"/>
      <c r="C115" s="61"/>
      <c r="D115" s="44">
        <f t="shared" si="36"/>
        <v>0</v>
      </c>
      <c r="E115" s="45"/>
      <c r="F115" s="46">
        <f t="shared" si="37"/>
        <v>0</v>
      </c>
      <c r="H115" s="61"/>
      <c r="I115" s="61"/>
      <c r="J115" s="44">
        <f t="shared" si="38"/>
        <v>0</v>
      </c>
      <c r="K115" s="45"/>
      <c r="L115" s="46">
        <f t="shared" si="39"/>
        <v>0</v>
      </c>
      <c r="N115" s="61"/>
      <c r="O115" s="61"/>
      <c r="P115" s="44">
        <f t="shared" si="40"/>
        <v>0</v>
      </c>
      <c r="Q115" s="45"/>
      <c r="R115" s="46">
        <f t="shared" si="41"/>
        <v>0</v>
      </c>
    </row>
    <row r="116" spans="2:23" x14ac:dyDescent="0.3">
      <c r="B116" s="61"/>
      <c r="C116" s="61"/>
      <c r="D116" s="44">
        <f t="shared" si="36"/>
        <v>0</v>
      </c>
      <c r="E116" s="45"/>
      <c r="F116" s="46">
        <f t="shared" si="37"/>
        <v>0</v>
      </c>
      <c r="H116" s="61"/>
      <c r="I116" s="61"/>
      <c r="J116" s="44">
        <f t="shared" si="38"/>
        <v>0</v>
      </c>
      <c r="K116" s="45"/>
      <c r="L116" s="46">
        <f t="shared" si="39"/>
        <v>0</v>
      </c>
      <c r="N116" s="61"/>
      <c r="O116" s="61"/>
      <c r="P116" s="44">
        <f t="shared" si="40"/>
        <v>0</v>
      </c>
      <c r="Q116" s="45"/>
      <c r="R116" s="46">
        <f t="shared" si="41"/>
        <v>0</v>
      </c>
    </row>
    <row r="117" spans="2:23" x14ac:dyDescent="0.3">
      <c r="B117" s="61"/>
      <c r="C117" s="61"/>
      <c r="D117" s="44">
        <f t="shared" si="36"/>
        <v>0</v>
      </c>
      <c r="E117" s="45"/>
      <c r="F117" s="46">
        <f t="shared" si="37"/>
        <v>0</v>
      </c>
      <c r="H117" s="61"/>
      <c r="I117" s="61"/>
      <c r="J117" s="44">
        <f t="shared" si="38"/>
        <v>0</v>
      </c>
      <c r="K117" s="45"/>
      <c r="L117" s="46">
        <f t="shared" si="39"/>
        <v>0</v>
      </c>
      <c r="N117" s="61"/>
      <c r="O117" s="61"/>
      <c r="P117" s="44">
        <f t="shared" si="40"/>
        <v>0</v>
      </c>
      <c r="Q117" s="45"/>
      <c r="R117" s="46">
        <f t="shared" si="41"/>
        <v>0</v>
      </c>
    </row>
    <row r="118" spans="2:23" ht="4.5" customHeight="1" x14ac:dyDescent="0.3"/>
    <row r="119" spans="2:23" x14ac:dyDescent="0.3">
      <c r="C119" s="48" t="s">
        <v>46</v>
      </c>
      <c r="D119" s="62">
        <f>SUM(D109:D117)</f>
        <v>0</v>
      </c>
      <c r="F119" s="49">
        <f>SUM(F109:F117)</f>
        <v>0</v>
      </c>
      <c r="I119" s="48" t="s">
        <v>46</v>
      </c>
      <c r="J119" s="62">
        <f>SUM(J109:J117)</f>
        <v>0</v>
      </c>
      <c r="L119" s="49">
        <f>SUM(L109:L117)</f>
        <v>0</v>
      </c>
      <c r="O119" s="48" t="s">
        <v>46</v>
      </c>
      <c r="P119" s="62">
        <f>SUM(P109:P117)</f>
        <v>0</v>
      </c>
      <c r="R119" s="49">
        <f>SUM(R109:R117)</f>
        <v>0</v>
      </c>
    </row>
    <row r="120" spans="2:23" ht="3.75" customHeight="1" x14ac:dyDescent="0.3"/>
    <row r="121" spans="2:23" x14ac:dyDescent="0.3">
      <c r="E121" s="50" t="s">
        <v>45</v>
      </c>
      <c r="F121" s="51">
        <f>IF(D119=0,0,F119/D119)</f>
        <v>0</v>
      </c>
      <c r="K121" s="50" t="s">
        <v>45</v>
      </c>
      <c r="L121" s="51">
        <f>IF(J119=0,0,L119/J119)</f>
        <v>0</v>
      </c>
      <c r="Q121" s="50" t="s">
        <v>45</v>
      </c>
      <c r="R121" s="51">
        <f>IF(P119=0,0,R119/P119)</f>
        <v>0</v>
      </c>
    </row>
    <row r="123" spans="2:23" x14ac:dyDescent="0.3">
      <c r="B123" s="59" t="s">
        <v>191</v>
      </c>
      <c r="C123" s="523"/>
      <c r="D123" s="523"/>
      <c r="E123" s="523"/>
      <c r="F123" s="523"/>
      <c r="H123" s="59" t="s">
        <v>191</v>
      </c>
      <c r="I123" s="523"/>
      <c r="J123" s="523"/>
      <c r="K123" s="523"/>
      <c r="L123" s="523"/>
      <c r="N123" s="59" t="s">
        <v>191</v>
      </c>
      <c r="O123" s="523"/>
      <c r="P123" s="523"/>
      <c r="Q123" s="523"/>
      <c r="R123" s="523"/>
      <c r="U123" s="46" t="str">
        <f>IF(C123&gt;"",C123,"")</f>
        <v/>
      </c>
      <c r="V123" s="46" t="str">
        <f>IF(I123&gt;"",I123,"")</f>
        <v/>
      </c>
      <c r="W123" s="46" t="str">
        <f>IF(O123&gt;"",O123,"")</f>
        <v/>
      </c>
    </row>
    <row r="124" spans="2:23" ht="4.5" customHeight="1" x14ac:dyDescent="0.3"/>
    <row r="125" spans="2:23" x14ac:dyDescent="0.3">
      <c r="B125" s="40" t="s">
        <v>184</v>
      </c>
      <c r="C125" s="40" t="s">
        <v>185</v>
      </c>
      <c r="D125" s="41"/>
      <c r="E125" s="42" t="s">
        <v>186</v>
      </c>
      <c r="F125" s="41"/>
      <c r="H125" s="40" t="s">
        <v>184</v>
      </c>
      <c r="I125" s="40" t="s">
        <v>185</v>
      </c>
      <c r="J125" s="41"/>
      <c r="K125" s="42" t="s">
        <v>186</v>
      </c>
      <c r="L125" s="41"/>
      <c r="N125" s="40" t="s">
        <v>184</v>
      </c>
      <c r="O125" s="40" t="s">
        <v>185</v>
      </c>
      <c r="P125" s="41"/>
      <c r="Q125" s="42" t="s">
        <v>186</v>
      </c>
      <c r="R125" s="41"/>
    </row>
    <row r="126" spans="2:23" x14ac:dyDescent="0.3">
      <c r="B126" s="60"/>
      <c r="C126" s="60"/>
      <c r="D126" s="44">
        <f t="shared" ref="D126:D134" si="42">IF(C126="",0,C126-B126+1)</f>
        <v>0</v>
      </c>
      <c r="E126" s="45"/>
      <c r="F126" s="46">
        <f t="shared" ref="F126:F134" si="43">+D126*E126</f>
        <v>0</v>
      </c>
      <c r="H126" s="60"/>
      <c r="I126" s="60"/>
      <c r="J126" s="44">
        <f t="shared" ref="J126:J134" si="44">IF(I126="",0,I126-H126+1)</f>
        <v>0</v>
      </c>
      <c r="K126" s="45"/>
      <c r="L126" s="46">
        <f t="shared" ref="L126:L134" si="45">+J126*K126</f>
        <v>0</v>
      </c>
      <c r="N126" s="60"/>
      <c r="O126" s="60"/>
      <c r="P126" s="44">
        <f t="shared" ref="P126:P134" si="46">IF(O126="",0,O126-N126+1)</f>
        <v>0</v>
      </c>
      <c r="Q126" s="45"/>
      <c r="R126" s="46">
        <f t="shared" ref="R126:R134" si="47">+P126*Q126</f>
        <v>0</v>
      </c>
    </row>
    <row r="127" spans="2:23" x14ac:dyDescent="0.3">
      <c r="B127" s="60"/>
      <c r="C127" s="60"/>
      <c r="D127" s="44">
        <f t="shared" si="42"/>
        <v>0</v>
      </c>
      <c r="E127" s="45"/>
      <c r="F127" s="46">
        <f t="shared" si="43"/>
        <v>0</v>
      </c>
      <c r="H127" s="60"/>
      <c r="I127" s="60"/>
      <c r="J127" s="44">
        <f t="shared" si="44"/>
        <v>0</v>
      </c>
      <c r="K127" s="45"/>
      <c r="L127" s="46">
        <f t="shared" si="45"/>
        <v>0</v>
      </c>
      <c r="N127" s="60"/>
      <c r="O127" s="60"/>
      <c r="P127" s="44">
        <f t="shared" si="46"/>
        <v>0</v>
      </c>
      <c r="Q127" s="45"/>
      <c r="R127" s="46">
        <f t="shared" si="47"/>
        <v>0</v>
      </c>
    </row>
    <row r="128" spans="2:23" x14ac:dyDescent="0.3">
      <c r="B128" s="60"/>
      <c r="C128" s="60"/>
      <c r="D128" s="44">
        <f t="shared" si="42"/>
        <v>0</v>
      </c>
      <c r="E128" s="45"/>
      <c r="F128" s="46">
        <f t="shared" si="43"/>
        <v>0</v>
      </c>
      <c r="H128" s="60"/>
      <c r="I128" s="60"/>
      <c r="J128" s="44">
        <f t="shared" si="44"/>
        <v>0</v>
      </c>
      <c r="K128" s="45"/>
      <c r="L128" s="46">
        <f t="shared" si="45"/>
        <v>0</v>
      </c>
      <c r="N128" s="60"/>
      <c r="O128" s="60"/>
      <c r="P128" s="44">
        <f t="shared" si="46"/>
        <v>0</v>
      </c>
      <c r="Q128" s="45"/>
      <c r="R128" s="46">
        <f t="shared" si="47"/>
        <v>0</v>
      </c>
    </row>
    <row r="129" spans="2:23" x14ac:dyDescent="0.3">
      <c r="B129" s="60"/>
      <c r="C129" s="60"/>
      <c r="D129" s="44">
        <f t="shared" si="42"/>
        <v>0</v>
      </c>
      <c r="E129" s="45"/>
      <c r="F129" s="46">
        <f t="shared" si="43"/>
        <v>0</v>
      </c>
      <c r="H129" s="60"/>
      <c r="I129" s="60"/>
      <c r="J129" s="44">
        <f t="shared" si="44"/>
        <v>0</v>
      </c>
      <c r="K129" s="45"/>
      <c r="L129" s="46">
        <f t="shared" si="45"/>
        <v>0</v>
      </c>
      <c r="N129" s="60"/>
      <c r="O129" s="60"/>
      <c r="P129" s="44">
        <f t="shared" si="46"/>
        <v>0</v>
      </c>
      <c r="Q129" s="45"/>
      <c r="R129" s="46">
        <f t="shared" si="47"/>
        <v>0</v>
      </c>
    </row>
    <row r="130" spans="2:23" x14ac:dyDescent="0.3">
      <c r="B130" s="60"/>
      <c r="C130" s="60"/>
      <c r="D130" s="44">
        <f t="shared" si="42"/>
        <v>0</v>
      </c>
      <c r="E130" s="45"/>
      <c r="F130" s="46">
        <f t="shared" si="43"/>
        <v>0</v>
      </c>
      <c r="H130" s="60"/>
      <c r="I130" s="60"/>
      <c r="J130" s="44">
        <f t="shared" si="44"/>
        <v>0</v>
      </c>
      <c r="K130" s="45"/>
      <c r="L130" s="46">
        <f t="shared" si="45"/>
        <v>0</v>
      </c>
      <c r="N130" s="60"/>
      <c r="O130" s="60"/>
      <c r="P130" s="44">
        <f t="shared" si="46"/>
        <v>0</v>
      </c>
      <c r="Q130" s="45"/>
      <c r="R130" s="46">
        <f t="shared" si="47"/>
        <v>0</v>
      </c>
    </row>
    <row r="131" spans="2:23" x14ac:dyDescent="0.3">
      <c r="B131" s="60"/>
      <c r="C131" s="60"/>
      <c r="D131" s="44">
        <f t="shared" si="42"/>
        <v>0</v>
      </c>
      <c r="E131" s="45"/>
      <c r="F131" s="46">
        <f t="shared" si="43"/>
        <v>0</v>
      </c>
      <c r="H131" s="60"/>
      <c r="I131" s="60"/>
      <c r="J131" s="44">
        <f t="shared" si="44"/>
        <v>0</v>
      </c>
      <c r="K131" s="45"/>
      <c r="L131" s="46">
        <f t="shared" si="45"/>
        <v>0</v>
      </c>
      <c r="N131" s="60"/>
      <c r="O131" s="60"/>
      <c r="P131" s="44">
        <f t="shared" si="46"/>
        <v>0</v>
      </c>
      <c r="Q131" s="45"/>
      <c r="R131" s="46">
        <f t="shared" si="47"/>
        <v>0</v>
      </c>
    </row>
    <row r="132" spans="2:23" x14ac:dyDescent="0.3">
      <c r="B132" s="61"/>
      <c r="C132" s="61"/>
      <c r="D132" s="44">
        <f t="shared" si="42"/>
        <v>0</v>
      </c>
      <c r="E132" s="45"/>
      <c r="F132" s="46">
        <f t="shared" si="43"/>
        <v>0</v>
      </c>
      <c r="H132" s="61"/>
      <c r="I132" s="61"/>
      <c r="J132" s="44">
        <f t="shared" si="44"/>
        <v>0</v>
      </c>
      <c r="K132" s="45"/>
      <c r="L132" s="46">
        <f t="shared" si="45"/>
        <v>0</v>
      </c>
      <c r="N132" s="61"/>
      <c r="O132" s="61"/>
      <c r="P132" s="44">
        <f t="shared" si="46"/>
        <v>0</v>
      </c>
      <c r="Q132" s="45"/>
      <c r="R132" s="46">
        <f t="shared" si="47"/>
        <v>0</v>
      </c>
    </row>
    <row r="133" spans="2:23" x14ac:dyDescent="0.3">
      <c r="B133" s="61"/>
      <c r="C133" s="61"/>
      <c r="D133" s="44">
        <f t="shared" si="42"/>
        <v>0</v>
      </c>
      <c r="E133" s="45"/>
      <c r="F133" s="46">
        <f t="shared" si="43"/>
        <v>0</v>
      </c>
      <c r="H133" s="61"/>
      <c r="I133" s="61"/>
      <c r="J133" s="44">
        <f t="shared" si="44"/>
        <v>0</v>
      </c>
      <c r="K133" s="45"/>
      <c r="L133" s="46">
        <f t="shared" si="45"/>
        <v>0</v>
      </c>
      <c r="N133" s="61"/>
      <c r="O133" s="61"/>
      <c r="P133" s="44">
        <f t="shared" si="46"/>
        <v>0</v>
      </c>
      <c r="Q133" s="45"/>
      <c r="R133" s="46">
        <f t="shared" si="47"/>
        <v>0</v>
      </c>
    </row>
    <row r="134" spans="2:23" x14ac:dyDescent="0.3">
      <c r="B134" s="61"/>
      <c r="C134" s="61"/>
      <c r="D134" s="44">
        <f t="shared" si="42"/>
        <v>0</v>
      </c>
      <c r="E134" s="45"/>
      <c r="F134" s="46">
        <f t="shared" si="43"/>
        <v>0</v>
      </c>
      <c r="H134" s="61"/>
      <c r="I134" s="61"/>
      <c r="J134" s="44">
        <f t="shared" si="44"/>
        <v>0</v>
      </c>
      <c r="K134" s="45"/>
      <c r="L134" s="46">
        <f t="shared" si="45"/>
        <v>0</v>
      </c>
      <c r="N134" s="61"/>
      <c r="O134" s="61"/>
      <c r="P134" s="44">
        <f t="shared" si="46"/>
        <v>0</v>
      </c>
      <c r="Q134" s="45"/>
      <c r="R134" s="46">
        <f t="shared" si="47"/>
        <v>0</v>
      </c>
    </row>
    <row r="135" spans="2:23" ht="4.5" customHeight="1" x14ac:dyDescent="0.3"/>
    <row r="136" spans="2:23" x14ac:dyDescent="0.3">
      <c r="C136" s="48" t="s">
        <v>46</v>
      </c>
      <c r="D136" s="62">
        <f>SUM(D126:D134)</f>
        <v>0</v>
      </c>
      <c r="F136" s="49">
        <f>SUM(F126:F134)</f>
        <v>0</v>
      </c>
      <c r="I136" s="48" t="s">
        <v>46</v>
      </c>
      <c r="J136" s="62">
        <f>SUM(J126:J134)</f>
        <v>0</v>
      </c>
      <c r="L136" s="49">
        <f>SUM(L126:L134)</f>
        <v>0</v>
      </c>
      <c r="O136" s="48" t="s">
        <v>46</v>
      </c>
      <c r="P136" s="62">
        <f>SUM(P126:P134)</f>
        <v>0</v>
      </c>
      <c r="R136" s="49">
        <f>SUM(R126:R134)</f>
        <v>0</v>
      </c>
    </row>
    <row r="137" spans="2:23" ht="3.75" customHeight="1" x14ac:dyDescent="0.3"/>
    <row r="138" spans="2:23" x14ac:dyDescent="0.3">
      <c r="E138" s="50" t="s">
        <v>45</v>
      </c>
      <c r="F138" s="51">
        <f>IF(D136=0,0,F136/D136)</f>
        <v>0</v>
      </c>
      <c r="K138" s="50" t="s">
        <v>45</v>
      </c>
      <c r="L138" s="51">
        <f>IF(J136=0,0,L136/J136)</f>
        <v>0</v>
      </c>
      <c r="Q138" s="50" t="s">
        <v>45</v>
      </c>
      <c r="R138" s="51">
        <f>IF(P136=0,0,R136/P136)</f>
        <v>0</v>
      </c>
    </row>
    <row r="140" spans="2:23" x14ac:dyDescent="0.3">
      <c r="B140" s="59" t="s">
        <v>191</v>
      </c>
      <c r="C140" s="523"/>
      <c r="D140" s="523"/>
      <c r="E140" s="523"/>
      <c r="F140" s="523"/>
      <c r="H140" s="59" t="s">
        <v>191</v>
      </c>
      <c r="I140" s="523"/>
      <c r="J140" s="523"/>
      <c r="K140" s="523"/>
      <c r="L140" s="523"/>
      <c r="N140" s="59" t="s">
        <v>191</v>
      </c>
      <c r="O140" s="523"/>
      <c r="P140" s="523"/>
      <c r="Q140" s="523"/>
      <c r="R140" s="523"/>
      <c r="U140" s="46" t="str">
        <f>IF(C140&gt;"",C140,"")</f>
        <v/>
      </c>
      <c r="V140" s="46" t="str">
        <f>IF(I140&gt;"",I140,"")</f>
        <v/>
      </c>
      <c r="W140" s="46" t="str">
        <f>IF(O140&gt;"",O140,"")</f>
        <v/>
      </c>
    </row>
    <row r="141" spans="2:23" ht="4.5" customHeight="1" x14ac:dyDescent="0.3"/>
    <row r="142" spans="2:23" x14ac:dyDescent="0.3">
      <c r="B142" s="40" t="s">
        <v>184</v>
      </c>
      <c r="C142" s="40" t="s">
        <v>185</v>
      </c>
      <c r="D142" s="41"/>
      <c r="E142" s="42" t="s">
        <v>186</v>
      </c>
      <c r="F142" s="41"/>
      <c r="H142" s="40" t="s">
        <v>184</v>
      </c>
      <c r="I142" s="40" t="s">
        <v>185</v>
      </c>
      <c r="J142" s="41"/>
      <c r="K142" s="42" t="s">
        <v>186</v>
      </c>
      <c r="L142" s="41"/>
      <c r="N142" s="40" t="s">
        <v>184</v>
      </c>
      <c r="O142" s="40" t="s">
        <v>185</v>
      </c>
      <c r="P142" s="41"/>
      <c r="Q142" s="42" t="s">
        <v>186</v>
      </c>
      <c r="R142" s="41"/>
    </row>
    <row r="143" spans="2:23" x14ac:dyDescent="0.3">
      <c r="B143" s="60"/>
      <c r="C143" s="60"/>
      <c r="D143" s="44">
        <f t="shared" ref="D143:D151" si="48">IF(C143="",0,C143-B143+1)</f>
        <v>0</v>
      </c>
      <c r="E143" s="45"/>
      <c r="F143" s="46">
        <f t="shared" ref="F143:F151" si="49">+D143*E143</f>
        <v>0</v>
      </c>
      <c r="H143" s="60"/>
      <c r="I143" s="60"/>
      <c r="J143" s="44">
        <f t="shared" ref="J143:J151" si="50">IF(I143="",0,I143-H143+1)</f>
        <v>0</v>
      </c>
      <c r="K143" s="45"/>
      <c r="L143" s="46">
        <f t="shared" ref="L143:L151" si="51">+J143*K143</f>
        <v>0</v>
      </c>
      <c r="N143" s="60"/>
      <c r="O143" s="60"/>
      <c r="P143" s="44">
        <f t="shared" ref="P143:P151" si="52">IF(O143="",0,O143-N143+1)</f>
        <v>0</v>
      </c>
      <c r="Q143" s="45"/>
      <c r="R143" s="46">
        <f t="shared" ref="R143:R151" si="53">+P143*Q143</f>
        <v>0</v>
      </c>
    </row>
    <row r="144" spans="2:23" x14ac:dyDescent="0.3">
      <c r="B144" s="60"/>
      <c r="C144" s="60"/>
      <c r="D144" s="44">
        <f t="shared" si="48"/>
        <v>0</v>
      </c>
      <c r="E144" s="45"/>
      <c r="F144" s="46">
        <f t="shared" si="49"/>
        <v>0</v>
      </c>
      <c r="H144" s="60"/>
      <c r="I144" s="60"/>
      <c r="J144" s="44">
        <f t="shared" si="50"/>
        <v>0</v>
      </c>
      <c r="K144" s="45"/>
      <c r="L144" s="46">
        <f t="shared" si="51"/>
        <v>0</v>
      </c>
      <c r="N144" s="60"/>
      <c r="O144" s="60"/>
      <c r="P144" s="44">
        <f t="shared" si="52"/>
        <v>0</v>
      </c>
      <c r="Q144" s="45"/>
      <c r="R144" s="46">
        <f t="shared" si="53"/>
        <v>0</v>
      </c>
    </row>
    <row r="145" spans="2:23" x14ac:dyDescent="0.3">
      <c r="B145" s="60"/>
      <c r="C145" s="60"/>
      <c r="D145" s="44">
        <f t="shared" si="48"/>
        <v>0</v>
      </c>
      <c r="E145" s="45"/>
      <c r="F145" s="46">
        <f t="shared" si="49"/>
        <v>0</v>
      </c>
      <c r="H145" s="60"/>
      <c r="I145" s="60"/>
      <c r="J145" s="44">
        <f t="shared" si="50"/>
        <v>0</v>
      </c>
      <c r="K145" s="45"/>
      <c r="L145" s="46">
        <f t="shared" si="51"/>
        <v>0</v>
      </c>
      <c r="N145" s="60"/>
      <c r="O145" s="60"/>
      <c r="P145" s="44">
        <f t="shared" si="52"/>
        <v>0</v>
      </c>
      <c r="Q145" s="45"/>
      <c r="R145" s="46">
        <f t="shared" si="53"/>
        <v>0</v>
      </c>
    </row>
    <row r="146" spans="2:23" x14ac:dyDescent="0.3">
      <c r="B146" s="60"/>
      <c r="C146" s="60"/>
      <c r="D146" s="44">
        <f t="shared" si="48"/>
        <v>0</v>
      </c>
      <c r="E146" s="45"/>
      <c r="F146" s="46">
        <f t="shared" si="49"/>
        <v>0</v>
      </c>
      <c r="H146" s="60"/>
      <c r="I146" s="60"/>
      <c r="J146" s="44">
        <f t="shared" si="50"/>
        <v>0</v>
      </c>
      <c r="K146" s="45"/>
      <c r="L146" s="46">
        <f t="shared" si="51"/>
        <v>0</v>
      </c>
      <c r="N146" s="60"/>
      <c r="O146" s="60"/>
      <c r="P146" s="44">
        <f t="shared" si="52"/>
        <v>0</v>
      </c>
      <c r="Q146" s="45"/>
      <c r="R146" s="46">
        <f t="shared" si="53"/>
        <v>0</v>
      </c>
    </row>
    <row r="147" spans="2:23" x14ac:dyDescent="0.3">
      <c r="B147" s="60"/>
      <c r="C147" s="60"/>
      <c r="D147" s="44">
        <f t="shared" si="48"/>
        <v>0</v>
      </c>
      <c r="E147" s="45"/>
      <c r="F147" s="46">
        <f t="shared" si="49"/>
        <v>0</v>
      </c>
      <c r="H147" s="60"/>
      <c r="I147" s="60"/>
      <c r="J147" s="44">
        <f t="shared" si="50"/>
        <v>0</v>
      </c>
      <c r="K147" s="45"/>
      <c r="L147" s="46">
        <f t="shared" si="51"/>
        <v>0</v>
      </c>
      <c r="N147" s="60"/>
      <c r="O147" s="60"/>
      <c r="P147" s="44">
        <f t="shared" si="52"/>
        <v>0</v>
      </c>
      <c r="Q147" s="45"/>
      <c r="R147" s="46">
        <f t="shared" si="53"/>
        <v>0</v>
      </c>
    </row>
    <row r="148" spans="2:23" x14ac:dyDescent="0.3">
      <c r="B148" s="60"/>
      <c r="C148" s="60"/>
      <c r="D148" s="44">
        <f t="shared" si="48"/>
        <v>0</v>
      </c>
      <c r="E148" s="45"/>
      <c r="F148" s="46">
        <f t="shared" si="49"/>
        <v>0</v>
      </c>
      <c r="H148" s="60"/>
      <c r="I148" s="60"/>
      <c r="J148" s="44">
        <f t="shared" si="50"/>
        <v>0</v>
      </c>
      <c r="K148" s="45"/>
      <c r="L148" s="46">
        <f t="shared" si="51"/>
        <v>0</v>
      </c>
      <c r="N148" s="60"/>
      <c r="O148" s="60"/>
      <c r="P148" s="44">
        <f t="shared" si="52"/>
        <v>0</v>
      </c>
      <c r="Q148" s="45"/>
      <c r="R148" s="46">
        <f t="shared" si="53"/>
        <v>0</v>
      </c>
    </row>
    <row r="149" spans="2:23" x14ac:dyDescent="0.3">
      <c r="B149" s="61"/>
      <c r="C149" s="61"/>
      <c r="D149" s="44">
        <f t="shared" si="48"/>
        <v>0</v>
      </c>
      <c r="E149" s="45"/>
      <c r="F149" s="46">
        <f t="shared" si="49"/>
        <v>0</v>
      </c>
      <c r="H149" s="61"/>
      <c r="I149" s="61"/>
      <c r="J149" s="44">
        <f t="shared" si="50"/>
        <v>0</v>
      </c>
      <c r="K149" s="45"/>
      <c r="L149" s="46">
        <f t="shared" si="51"/>
        <v>0</v>
      </c>
      <c r="N149" s="61"/>
      <c r="O149" s="61"/>
      <c r="P149" s="44">
        <f t="shared" si="52"/>
        <v>0</v>
      </c>
      <c r="Q149" s="45"/>
      <c r="R149" s="46">
        <f t="shared" si="53"/>
        <v>0</v>
      </c>
    </row>
    <row r="150" spans="2:23" x14ac:dyDescent="0.3">
      <c r="B150" s="61"/>
      <c r="C150" s="61"/>
      <c r="D150" s="44">
        <f t="shared" si="48"/>
        <v>0</v>
      </c>
      <c r="E150" s="45"/>
      <c r="F150" s="46">
        <f t="shared" si="49"/>
        <v>0</v>
      </c>
      <c r="H150" s="61"/>
      <c r="I150" s="61"/>
      <c r="J150" s="44">
        <f t="shared" si="50"/>
        <v>0</v>
      </c>
      <c r="K150" s="45"/>
      <c r="L150" s="46">
        <f t="shared" si="51"/>
        <v>0</v>
      </c>
      <c r="N150" s="61"/>
      <c r="O150" s="61"/>
      <c r="P150" s="44">
        <f t="shared" si="52"/>
        <v>0</v>
      </c>
      <c r="Q150" s="45"/>
      <c r="R150" s="46">
        <f t="shared" si="53"/>
        <v>0</v>
      </c>
    </row>
    <row r="151" spans="2:23" x14ac:dyDescent="0.3">
      <c r="B151" s="61"/>
      <c r="C151" s="61"/>
      <c r="D151" s="44">
        <f t="shared" si="48"/>
        <v>0</v>
      </c>
      <c r="E151" s="45"/>
      <c r="F151" s="46">
        <f t="shared" si="49"/>
        <v>0</v>
      </c>
      <c r="H151" s="61"/>
      <c r="I151" s="61"/>
      <c r="J151" s="44">
        <f t="shared" si="50"/>
        <v>0</v>
      </c>
      <c r="K151" s="45"/>
      <c r="L151" s="46">
        <f t="shared" si="51"/>
        <v>0</v>
      </c>
      <c r="N151" s="61"/>
      <c r="O151" s="61"/>
      <c r="P151" s="44">
        <f t="shared" si="52"/>
        <v>0</v>
      </c>
      <c r="Q151" s="45"/>
      <c r="R151" s="46">
        <f t="shared" si="53"/>
        <v>0</v>
      </c>
    </row>
    <row r="152" spans="2:23" ht="4.5" customHeight="1" x14ac:dyDescent="0.3"/>
    <row r="153" spans="2:23" x14ac:dyDescent="0.3">
      <c r="C153" s="48" t="s">
        <v>46</v>
      </c>
      <c r="D153" s="62">
        <f>SUM(D143:D151)</f>
        <v>0</v>
      </c>
      <c r="F153" s="49">
        <f>SUM(F143:F151)</f>
        <v>0</v>
      </c>
      <c r="I153" s="48" t="s">
        <v>46</v>
      </c>
      <c r="J153" s="62">
        <f>SUM(J143:J151)</f>
        <v>0</v>
      </c>
      <c r="L153" s="49">
        <f>SUM(L143:L151)</f>
        <v>0</v>
      </c>
      <c r="O153" s="48" t="s">
        <v>46</v>
      </c>
      <c r="P153" s="62">
        <f>SUM(P143:P151)</f>
        <v>0</v>
      </c>
      <c r="R153" s="49">
        <f>SUM(R143:R151)</f>
        <v>0</v>
      </c>
    </row>
    <row r="154" spans="2:23" ht="3.75" customHeight="1" x14ac:dyDescent="0.3"/>
    <row r="155" spans="2:23" x14ac:dyDescent="0.3">
      <c r="E155" s="50" t="s">
        <v>45</v>
      </c>
      <c r="F155" s="51">
        <f>IF(D153=0,0,F153/D153)</f>
        <v>0</v>
      </c>
      <c r="K155" s="50" t="s">
        <v>45</v>
      </c>
      <c r="L155" s="51">
        <f>IF(J153=0,0,L153/J153)</f>
        <v>0</v>
      </c>
      <c r="Q155" s="50" t="s">
        <v>45</v>
      </c>
      <c r="R155" s="51">
        <f>IF(P153=0,0,R153/P153)</f>
        <v>0</v>
      </c>
    </row>
    <row r="157" spans="2:23" x14ac:dyDescent="0.3">
      <c r="B157" s="59" t="s">
        <v>191</v>
      </c>
      <c r="C157" s="523"/>
      <c r="D157" s="523"/>
      <c r="E157" s="523"/>
      <c r="F157" s="523"/>
      <c r="H157" s="59" t="s">
        <v>191</v>
      </c>
      <c r="I157" s="523"/>
      <c r="J157" s="523"/>
      <c r="K157" s="523"/>
      <c r="L157" s="523"/>
      <c r="N157" s="59" t="s">
        <v>191</v>
      </c>
      <c r="O157" s="523"/>
      <c r="P157" s="523"/>
      <c r="Q157" s="523"/>
      <c r="R157" s="523"/>
      <c r="U157" s="46" t="str">
        <f>IF(C157&gt;"",C157,"")</f>
        <v/>
      </c>
      <c r="V157" s="46" t="str">
        <f>IF(I157&gt;"",I157,"")</f>
        <v/>
      </c>
      <c r="W157" s="46" t="str">
        <f>IF(O157&gt;"",O157,"")</f>
        <v/>
      </c>
    </row>
    <row r="158" spans="2:23" ht="4.5" customHeight="1" x14ac:dyDescent="0.3"/>
    <row r="159" spans="2:23" x14ac:dyDescent="0.3">
      <c r="B159" s="40" t="s">
        <v>184</v>
      </c>
      <c r="C159" s="40" t="s">
        <v>185</v>
      </c>
      <c r="D159" s="41"/>
      <c r="E159" s="42" t="s">
        <v>186</v>
      </c>
      <c r="F159" s="41"/>
      <c r="H159" s="40" t="s">
        <v>184</v>
      </c>
      <c r="I159" s="40" t="s">
        <v>185</v>
      </c>
      <c r="J159" s="41"/>
      <c r="K159" s="42" t="s">
        <v>186</v>
      </c>
      <c r="L159" s="41"/>
      <c r="N159" s="40" t="s">
        <v>184</v>
      </c>
      <c r="O159" s="40" t="s">
        <v>185</v>
      </c>
      <c r="P159" s="41"/>
      <c r="Q159" s="42" t="s">
        <v>186</v>
      </c>
      <c r="R159" s="41"/>
    </row>
    <row r="160" spans="2:23" x14ac:dyDescent="0.3">
      <c r="B160" s="60"/>
      <c r="C160" s="60"/>
      <c r="D160" s="44">
        <f t="shared" ref="D160:D168" si="54">IF(C160="",0,C160-B160+1)</f>
        <v>0</v>
      </c>
      <c r="E160" s="45"/>
      <c r="F160" s="46">
        <f t="shared" ref="F160:F168" si="55">+D160*E160</f>
        <v>0</v>
      </c>
      <c r="H160" s="60"/>
      <c r="I160" s="60"/>
      <c r="J160" s="44">
        <f t="shared" ref="J160:J168" si="56">IF(I160="",0,I160-H160+1)</f>
        <v>0</v>
      </c>
      <c r="K160" s="45"/>
      <c r="L160" s="46">
        <f t="shared" ref="L160:L168" si="57">+J160*K160</f>
        <v>0</v>
      </c>
      <c r="N160" s="60"/>
      <c r="O160" s="60"/>
      <c r="P160" s="44">
        <f t="shared" ref="P160:P168" si="58">IF(O160="",0,O160-N160+1)</f>
        <v>0</v>
      </c>
      <c r="Q160" s="45"/>
      <c r="R160" s="46">
        <f t="shared" ref="R160:R168" si="59">+P160*Q160</f>
        <v>0</v>
      </c>
    </row>
    <row r="161" spans="2:23" x14ac:dyDescent="0.3">
      <c r="B161" s="60"/>
      <c r="C161" s="60"/>
      <c r="D161" s="44">
        <f t="shared" si="54"/>
        <v>0</v>
      </c>
      <c r="E161" s="45"/>
      <c r="F161" s="46">
        <f t="shared" si="55"/>
        <v>0</v>
      </c>
      <c r="H161" s="60"/>
      <c r="I161" s="60"/>
      <c r="J161" s="44">
        <f t="shared" si="56"/>
        <v>0</v>
      </c>
      <c r="K161" s="45"/>
      <c r="L161" s="46">
        <f t="shared" si="57"/>
        <v>0</v>
      </c>
      <c r="N161" s="60"/>
      <c r="O161" s="60"/>
      <c r="P161" s="44">
        <f t="shared" si="58"/>
        <v>0</v>
      </c>
      <c r="Q161" s="45"/>
      <c r="R161" s="46">
        <f t="shared" si="59"/>
        <v>0</v>
      </c>
    </row>
    <row r="162" spans="2:23" x14ac:dyDescent="0.3">
      <c r="B162" s="60"/>
      <c r="C162" s="60"/>
      <c r="D162" s="44">
        <f t="shared" si="54"/>
        <v>0</v>
      </c>
      <c r="E162" s="45"/>
      <c r="F162" s="46">
        <f t="shared" si="55"/>
        <v>0</v>
      </c>
      <c r="H162" s="60"/>
      <c r="I162" s="60"/>
      <c r="J162" s="44">
        <f t="shared" si="56"/>
        <v>0</v>
      </c>
      <c r="K162" s="45"/>
      <c r="L162" s="46">
        <f t="shared" si="57"/>
        <v>0</v>
      </c>
      <c r="N162" s="60"/>
      <c r="O162" s="60"/>
      <c r="P162" s="44">
        <f t="shared" si="58"/>
        <v>0</v>
      </c>
      <c r="Q162" s="45"/>
      <c r="R162" s="46">
        <f t="shared" si="59"/>
        <v>0</v>
      </c>
    </row>
    <row r="163" spans="2:23" x14ac:dyDescent="0.3">
      <c r="B163" s="60"/>
      <c r="C163" s="60"/>
      <c r="D163" s="44">
        <f t="shared" si="54"/>
        <v>0</v>
      </c>
      <c r="E163" s="45"/>
      <c r="F163" s="46">
        <f t="shared" si="55"/>
        <v>0</v>
      </c>
      <c r="H163" s="60"/>
      <c r="I163" s="60"/>
      <c r="J163" s="44">
        <f t="shared" si="56"/>
        <v>0</v>
      </c>
      <c r="K163" s="45"/>
      <c r="L163" s="46">
        <f t="shared" si="57"/>
        <v>0</v>
      </c>
      <c r="N163" s="60"/>
      <c r="O163" s="60"/>
      <c r="P163" s="44">
        <f t="shared" si="58"/>
        <v>0</v>
      </c>
      <c r="Q163" s="45"/>
      <c r="R163" s="46">
        <f t="shared" si="59"/>
        <v>0</v>
      </c>
    </row>
    <row r="164" spans="2:23" x14ac:dyDescent="0.3">
      <c r="B164" s="60"/>
      <c r="C164" s="60"/>
      <c r="D164" s="44">
        <f t="shared" si="54"/>
        <v>0</v>
      </c>
      <c r="E164" s="45"/>
      <c r="F164" s="46">
        <f t="shared" si="55"/>
        <v>0</v>
      </c>
      <c r="H164" s="60"/>
      <c r="I164" s="60"/>
      <c r="J164" s="44">
        <f t="shared" si="56"/>
        <v>0</v>
      </c>
      <c r="K164" s="45"/>
      <c r="L164" s="46">
        <f t="shared" si="57"/>
        <v>0</v>
      </c>
      <c r="N164" s="60"/>
      <c r="O164" s="60"/>
      <c r="P164" s="44">
        <f t="shared" si="58"/>
        <v>0</v>
      </c>
      <c r="Q164" s="45"/>
      <c r="R164" s="46">
        <f t="shared" si="59"/>
        <v>0</v>
      </c>
    </row>
    <row r="165" spans="2:23" x14ac:dyDescent="0.3">
      <c r="B165" s="60"/>
      <c r="C165" s="60"/>
      <c r="D165" s="44">
        <f t="shared" si="54"/>
        <v>0</v>
      </c>
      <c r="E165" s="45"/>
      <c r="F165" s="46">
        <f t="shared" si="55"/>
        <v>0</v>
      </c>
      <c r="H165" s="60"/>
      <c r="I165" s="60"/>
      <c r="J165" s="44">
        <f t="shared" si="56"/>
        <v>0</v>
      </c>
      <c r="K165" s="45"/>
      <c r="L165" s="46">
        <f t="shared" si="57"/>
        <v>0</v>
      </c>
      <c r="N165" s="60"/>
      <c r="O165" s="60"/>
      <c r="P165" s="44">
        <f t="shared" si="58"/>
        <v>0</v>
      </c>
      <c r="Q165" s="45"/>
      <c r="R165" s="46">
        <f t="shared" si="59"/>
        <v>0</v>
      </c>
    </row>
    <row r="166" spans="2:23" x14ac:dyDescent="0.3">
      <c r="B166" s="61"/>
      <c r="C166" s="61"/>
      <c r="D166" s="44">
        <f t="shared" si="54"/>
        <v>0</v>
      </c>
      <c r="E166" s="45"/>
      <c r="F166" s="46">
        <f t="shared" si="55"/>
        <v>0</v>
      </c>
      <c r="H166" s="61"/>
      <c r="I166" s="61"/>
      <c r="J166" s="44">
        <f t="shared" si="56"/>
        <v>0</v>
      </c>
      <c r="K166" s="45"/>
      <c r="L166" s="46">
        <f t="shared" si="57"/>
        <v>0</v>
      </c>
      <c r="N166" s="61"/>
      <c r="O166" s="61"/>
      <c r="P166" s="44">
        <f t="shared" si="58"/>
        <v>0</v>
      </c>
      <c r="Q166" s="45"/>
      <c r="R166" s="46">
        <f t="shared" si="59"/>
        <v>0</v>
      </c>
    </row>
    <row r="167" spans="2:23" x14ac:dyDescent="0.3">
      <c r="B167" s="61"/>
      <c r="C167" s="61"/>
      <c r="D167" s="44">
        <f t="shared" si="54"/>
        <v>0</v>
      </c>
      <c r="E167" s="45"/>
      <c r="F167" s="46">
        <f t="shared" si="55"/>
        <v>0</v>
      </c>
      <c r="H167" s="61"/>
      <c r="I167" s="61"/>
      <c r="J167" s="44">
        <f t="shared" si="56"/>
        <v>0</v>
      </c>
      <c r="K167" s="45"/>
      <c r="L167" s="46">
        <f t="shared" si="57"/>
        <v>0</v>
      </c>
      <c r="N167" s="61"/>
      <c r="O167" s="61"/>
      <c r="P167" s="44">
        <f t="shared" si="58"/>
        <v>0</v>
      </c>
      <c r="Q167" s="45"/>
      <c r="R167" s="46">
        <f t="shared" si="59"/>
        <v>0</v>
      </c>
    </row>
    <row r="168" spans="2:23" x14ac:dyDescent="0.3">
      <c r="B168" s="61"/>
      <c r="C168" s="61"/>
      <c r="D168" s="44">
        <f t="shared" si="54"/>
        <v>0</v>
      </c>
      <c r="E168" s="45"/>
      <c r="F168" s="46">
        <f t="shared" si="55"/>
        <v>0</v>
      </c>
      <c r="H168" s="61"/>
      <c r="I168" s="61"/>
      <c r="J168" s="44">
        <f t="shared" si="56"/>
        <v>0</v>
      </c>
      <c r="K168" s="45"/>
      <c r="L168" s="46">
        <f t="shared" si="57"/>
        <v>0</v>
      </c>
      <c r="N168" s="61"/>
      <c r="O168" s="61"/>
      <c r="P168" s="44">
        <f t="shared" si="58"/>
        <v>0</v>
      </c>
      <c r="Q168" s="45"/>
      <c r="R168" s="46">
        <f t="shared" si="59"/>
        <v>0</v>
      </c>
    </row>
    <row r="169" spans="2:23" ht="4.5" customHeight="1" x14ac:dyDescent="0.3"/>
    <row r="170" spans="2:23" x14ac:dyDescent="0.3">
      <c r="C170" s="48" t="s">
        <v>46</v>
      </c>
      <c r="D170" s="62">
        <f>SUM(D160:D168)</f>
        <v>0</v>
      </c>
      <c r="F170" s="49">
        <f>SUM(F160:F168)</f>
        <v>0</v>
      </c>
      <c r="I170" s="48" t="s">
        <v>46</v>
      </c>
      <c r="J170" s="62">
        <f>SUM(J160:J168)</f>
        <v>0</v>
      </c>
      <c r="L170" s="49">
        <f>SUM(L160:L168)</f>
        <v>0</v>
      </c>
      <c r="O170" s="48" t="s">
        <v>46</v>
      </c>
      <c r="P170" s="62">
        <f>SUM(P160:P168)</f>
        <v>0</v>
      </c>
      <c r="R170" s="49">
        <f>SUM(R160:R168)</f>
        <v>0</v>
      </c>
    </row>
    <row r="171" spans="2:23" ht="3.75" customHeight="1" x14ac:dyDescent="0.3"/>
    <row r="172" spans="2:23" x14ac:dyDescent="0.3">
      <c r="E172" s="50" t="s">
        <v>45</v>
      </c>
      <c r="F172" s="51">
        <f>IF(D170=0,0,F170/D170)</f>
        <v>0</v>
      </c>
      <c r="K172" s="50" t="s">
        <v>45</v>
      </c>
      <c r="L172" s="51">
        <f>IF(J170=0,0,L170/J170)</f>
        <v>0</v>
      </c>
      <c r="Q172" s="50" t="s">
        <v>45</v>
      </c>
      <c r="R172" s="51">
        <f>IF(P170=0,0,R170/P170)</f>
        <v>0</v>
      </c>
    </row>
    <row r="174" spans="2:23" x14ac:dyDescent="0.3">
      <c r="B174" s="59" t="s">
        <v>191</v>
      </c>
      <c r="C174" s="523"/>
      <c r="D174" s="523"/>
      <c r="E174" s="523"/>
      <c r="F174" s="523"/>
      <c r="H174" s="59" t="s">
        <v>191</v>
      </c>
      <c r="I174" s="523"/>
      <c r="J174" s="523"/>
      <c r="K174" s="523"/>
      <c r="L174" s="523"/>
      <c r="N174" s="59" t="s">
        <v>191</v>
      </c>
      <c r="O174" s="523"/>
      <c r="P174" s="523"/>
      <c r="Q174" s="523"/>
      <c r="R174" s="523"/>
      <c r="U174" s="46" t="str">
        <f>IF(C174&gt;"",C174,"")</f>
        <v/>
      </c>
      <c r="V174" s="46" t="str">
        <f>IF(I174&gt;"",I174,"")</f>
        <v/>
      </c>
      <c r="W174" s="46" t="str">
        <f>IF(O174&gt;"",O174,"")</f>
        <v/>
      </c>
    </row>
    <row r="175" spans="2:23" ht="4.5" customHeight="1" x14ac:dyDescent="0.3"/>
    <row r="176" spans="2:23" x14ac:dyDescent="0.3">
      <c r="B176" s="40" t="s">
        <v>184</v>
      </c>
      <c r="C176" s="40" t="s">
        <v>185</v>
      </c>
      <c r="D176" s="41"/>
      <c r="E176" s="42" t="s">
        <v>186</v>
      </c>
      <c r="F176" s="41"/>
      <c r="H176" s="40" t="s">
        <v>184</v>
      </c>
      <c r="I176" s="40" t="s">
        <v>185</v>
      </c>
      <c r="J176" s="41"/>
      <c r="K176" s="42" t="s">
        <v>186</v>
      </c>
      <c r="L176" s="41"/>
      <c r="N176" s="40" t="s">
        <v>184</v>
      </c>
      <c r="O176" s="40" t="s">
        <v>185</v>
      </c>
      <c r="P176" s="41"/>
      <c r="Q176" s="42" t="s">
        <v>186</v>
      </c>
      <c r="R176" s="41"/>
    </row>
    <row r="177" spans="2:23" x14ac:dyDescent="0.3">
      <c r="B177" s="60"/>
      <c r="C177" s="60"/>
      <c r="D177" s="44">
        <f t="shared" ref="D177:D185" si="60">IF(C177="",0,C177-B177+1)</f>
        <v>0</v>
      </c>
      <c r="E177" s="45"/>
      <c r="F177" s="46">
        <f t="shared" ref="F177:F185" si="61">+D177*E177</f>
        <v>0</v>
      </c>
      <c r="H177" s="60"/>
      <c r="I177" s="60"/>
      <c r="J177" s="44">
        <f t="shared" ref="J177:J185" si="62">IF(I177="",0,I177-H177+1)</f>
        <v>0</v>
      </c>
      <c r="K177" s="45"/>
      <c r="L177" s="46">
        <f t="shared" ref="L177:L185" si="63">+J177*K177</f>
        <v>0</v>
      </c>
      <c r="N177" s="60"/>
      <c r="O177" s="60"/>
      <c r="P177" s="44">
        <f t="shared" ref="P177:P185" si="64">IF(O177="",0,O177-N177+1)</f>
        <v>0</v>
      </c>
      <c r="Q177" s="45"/>
      <c r="R177" s="46">
        <f t="shared" ref="R177:R185" si="65">+P177*Q177</f>
        <v>0</v>
      </c>
    </row>
    <row r="178" spans="2:23" x14ac:dyDescent="0.3">
      <c r="B178" s="60"/>
      <c r="C178" s="60"/>
      <c r="D178" s="44">
        <f t="shared" si="60"/>
        <v>0</v>
      </c>
      <c r="E178" s="45"/>
      <c r="F178" s="46">
        <f t="shared" si="61"/>
        <v>0</v>
      </c>
      <c r="H178" s="60"/>
      <c r="I178" s="60"/>
      <c r="J178" s="44">
        <f t="shared" si="62"/>
        <v>0</v>
      </c>
      <c r="K178" s="45"/>
      <c r="L178" s="46">
        <f t="shared" si="63"/>
        <v>0</v>
      </c>
      <c r="N178" s="60"/>
      <c r="O178" s="60"/>
      <c r="P178" s="44">
        <f t="shared" si="64"/>
        <v>0</v>
      </c>
      <c r="Q178" s="45"/>
      <c r="R178" s="46">
        <f t="shared" si="65"/>
        <v>0</v>
      </c>
    </row>
    <row r="179" spans="2:23" x14ac:dyDescent="0.3">
      <c r="B179" s="60"/>
      <c r="C179" s="60"/>
      <c r="D179" s="44">
        <f t="shared" si="60"/>
        <v>0</v>
      </c>
      <c r="E179" s="45"/>
      <c r="F179" s="46">
        <f t="shared" si="61"/>
        <v>0</v>
      </c>
      <c r="H179" s="60"/>
      <c r="I179" s="60"/>
      <c r="J179" s="44">
        <f t="shared" si="62"/>
        <v>0</v>
      </c>
      <c r="K179" s="45"/>
      <c r="L179" s="46">
        <f t="shared" si="63"/>
        <v>0</v>
      </c>
      <c r="N179" s="60"/>
      <c r="O179" s="60"/>
      <c r="P179" s="44">
        <f t="shared" si="64"/>
        <v>0</v>
      </c>
      <c r="Q179" s="45"/>
      <c r="R179" s="46">
        <f t="shared" si="65"/>
        <v>0</v>
      </c>
    </row>
    <row r="180" spans="2:23" x14ac:dyDescent="0.3">
      <c r="B180" s="60"/>
      <c r="C180" s="60"/>
      <c r="D180" s="44">
        <f t="shared" si="60"/>
        <v>0</v>
      </c>
      <c r="E180" s="45"/>
      <c r="F180" s="46">
        <f t="shared" si="61"/>
        <v>0</v>
      </c>
      <c r="H180" s="60"/>
      <c r="I180" s="60"/>
      <c r="J180" s="44">
        <f t="shared" si="62"/>
        <v>0</v>
      </c>
      <c r="K180" s="45"/>
      <c r="L180" s="46">
        <f t="shared" si="63"/>
        <v>0</v>
      </c>
      <c r="N180" s="60"/>
      <c r="O180" s="60"/>
      <c r="P180" s="44">
        <f t="shared" si="64"/>
        <v>0</v>
      </c>
      <c r="Q180" s="45"/>
      <c r="R180" s="46">
        <f t="shared" si="65"/>
        <v>0</v>
      </c>
    </row>
    <row r="181" spans="2:23" x14ac:dyDescent="0.3">
      <c r="B181" s="60"/>
      <c r="C181" s="60"/>
      <c r="D181" s="44">
        <f t="shared" si="60"/>
        <v>0</v>
      </c>
      <c r="E181" s="45"/>
      <c r="F181" s="46">
        <f t="shared" si="61"/>
        <v>0</v>
      </c>
      <c r="H181" s="60"/>
      <c r="I181" s="60"/>
      <c r="J181" s="44">
        <f t="shared" si="62"/>
        <v>0</v>
      </c>
      <c r="K181" s="45"/>
      <c r="L181" s="46">
        <f t="shared" si="63"/>
        <v>0</v>
      </c>
      <c r="N181" s="60"/>
      <c r="O181" s="60"/>
      <c r="P181" s="44">
        <f t="shared" si="64"/>
        <v>0</v>
      </c>
      <c r="Q181" s="45"/>
      <c r="R181" s="46">
        <f t="shared" si="65"/>
        <v>0</v>
      </c>
    </row>
    <row r="182" spans="2:23" x14ac:dyDescent="0.3">
      <c r="B182" s="60"/>
      <c r="C182" s="60"/>
      <c r="D182" s="44">
        <f t="shared" si="60"/>
        <v>0</v>
      </c>
      <c r="E182" s="45"/>
      <c r="F182" s="46">
        <f t="shared" si="61"/>
        <v>0</v>
      </c>
      <c r="H182" s="60"/>
      <c r="I182" s="60"/>
      <c r="J182" s="44">
        <f t="shared" si="62"/>
        <v>0</v>
      </c>
      <c r="K182" s="45"/>
      <c r="L182" s="46">
        <f t="shared" si="63"/>
        <v>0</v>
      </c>
      <c r="N182" s="60"/>
      <c r="O182" s="60"/>
      <c r="P182" s="44">
        <f t="shared" si="64"/>
        <v>0</v>
      </c>
      <c r="Q182" s="45"/>
      <c r="R182" s="46">
        <f t="shared" si="65"/>
        <v>0</v>
      </c>
    </row>
    <row r="183" spans="2:23" x14ac:dyDescent="0.3">
      <c r="B183" s="61"/>
      <c r="C183" s="61"/>
      <c r="D183" s="44">
        <f t="shared" si="60"/>
        <v>0</v>
      </c>
      <c r="E183" s="45"/>
      <c r="F183" s="46">
        <f t="shared" si="61"/>
        <v>0</v>
      </c>
      <c r="H183" s="61"/>
      <c r="I183" s="61"/>
      <c r="J183" s="44">
        <f t="shared" si="62"/>
        <v>0</v>
      </c>
      <c r="K183" s="45"/>
      <c r="L183" s="46">
        <f t="shared" si="63"/>
        <v>0</v>
      </c>
      <c r="N183" s="61"/>
      <c r="O183" s="61"/>
      <c r="P183" s="44">
        <f t="shared" si="64"/>
        <v>0</v>
      </c>
      <c r="Q183" s="45"/>
      <c r="R183" s="46">
        <f t="shared" si="65"/>
        <v>0</v>
      </c>
    </row>
    <row r="184" spans="2:23" x14ac:dyDescent="0.3">
      <c r="B184" s="61"/>
      <c r="C184" s="61"/>
      <c r="D184" s="44">
        <f t="shared" si="60"/>
        <v>0</v>
      </c>
      <c r="E184" s="45"/>
      <c r="F184" s="46">
        <f t="shared" si="61"/>
        <v>0</v>
      </c>
      <c r="H184" s="61"/>
      <c r="I184" s="61"/>
      <c r="J184" s="44">
        <f t="shared" si="62"/>
        <v>0</v>
      </c>
      <c r="K184" s="45"/>
      <c r="L184" s="46">
        <f t="shared" si="63"/>
        <v>0</v>
      </c>
      <c r="N184" s="61"/>
      <c r="O184" s="61"/>
      <c r="P184" s="44">
        <f t="shared" si="64"/>
        <v>0</v>
      </c>
      <c r="Q184" s="45"/>
      <c r="R184" s="46">
        <f t="shared" si="65"/>
        <v>0</v>
      </c>
    </row>
    <row r="185" spans="2:23" x14ac:dyDescent="0.3">
      <c r="B185" s="61"/>
      <c r="C185" s="61"/>
      <c r="D185" s="44">
        <f t="shared" si="60"/>
        <v>0</v>
      </c>
      <c r="E185" s="45"/>
      <c r="F185" s="46">
        <f t="shared" si="61"/>
        <v>0</v>
      </c>
      <c r="H185" s="61"/>
      <c r="I185" s="61"/>
      <c r="J185" s="44">
        <f t="shared" si="62"/>
        <v>0</v>
      </c>
      <c r="K185" s="45"/>
      <c r="L185" s="46">
        <f t="shared" si="63"/>
        <v>0</v>
      </c>
      <c r="N185" s="61"/>
      <c r="O185" s="61"/>
      <c r="P185" s="44">
        <f t="shared" si="64"/>
        <v>0</v>
      </c>
      <c r="Q185" s="45"/>
      <c r="R185" s="46">
        <f t="shared" si="65"/>
        <v>0</v>
      </c>
    </row>
    <row r="186" spans="2:23" ht="4.5" customHeight="1" x14ac:dyDescent="0.3"/>
    <row r="187" spans="2:23" x14ac:dyDescent="0.3">
      <c r="C187" s="48" t="s">
        <v>46</v>
      </c>
      <c r="D187" s="62">
        <f>SUM(D177:D185)</f>
        <v>0</v>
      </c>
      <c r="F187" s="49">
        <f>SUM(F177:F185)</f>
        <v>0</v>
      </c>
      <c r="I187" s="48" t="s">
        <v>46</v>
      </c>
      <c r="J187" s="62">
        <f>SUM(J177:J185)</f>
        <v>0</v>
      </c>
      <c r="L187" s="49">
        <f>SUM(L177:L185)</f>
        <v>0</v>
      </c>
      <c r="O187" s="48" t="s">
        <v>46</v>
      </c>
      <c r="P187" s="62">
        <f>SUM(P177:P185)</f>
        <v>0</v>
      </c>
      <c r="R187" s="49">
        <f>SUM(R177:R185)</f>
        <v>0</v>
      </c>
    </row>
    <row r="188" spans="2:23" ht="3.75" customHeight="1" x14ac:dyDescent="0.3"/>
    <row r="189" spans="2:23" x14ac:dyDescent="0.3">
      <c r="E189" s="50" t="s">
        <v>45</v>
      </c>
      <c r="F189" s="51">
        <f>IF(D187=0,0,F187/D187)</f>
        <v>0</v>
      </c>
      <c r="K189" s="50" t="s">
        <v>45</v>
      </c>
      <c r="L189" s="51">
        <f>IF(J187=0,0,L187/J187)</f>
        <v>0</v>
      </c>
      <c r="Q189" s="50" t="s">
        <v>45</v>
      </c>
      <c r="R189" s="51">
        <f>IF(P187=0,0,R187/P187)</f>
        <v>0</v>
      </c>
    </row>
    <row r="191" spans="2:23" x14ac:dyDescent="0.3">
      <c r="B191" s="59" t="s">
        <v>191</v>
      </c>
      <c r="C191" s="523"/>
      <c r="D191" s="523"/>
      <c r="E191" s="523"/>
      <c r="F191" s="523"/>
      <c r="H191" s="59" t="s">
        <v>191</v>
      </c>
      <c r="I191" s="523"/>
      <c r="J191" s="523"/>
      <c r="K191" s="523"/>
      <c r="L191" s="523"/>
      <c r="N191" s="59" t="s">
        <v>191</v>
      </c>
      <c r="O191" s="523"/>
      <c r="P191" s="523"/>
      <c r="Q191" s="523"/>
      <c r="R191" s="523"/>
      <c r="U191" s="46" t="str">
        <f>IF(C191&gt;"",C191,"")</f>
        <v/>
      </c>
      <c r="V191" s="46" t="str">
        <f>IF(I191&gt;"",I191,"")</f>
        <v/>
      </c>
      <c r="W191" s="46" t="str">
        <f>IF(O191&gt;"",O191,"")</f>
        <v/>
      </c>
    </row>
    <row r="192" spans="2:23" ht="4.5" customHeight="1" x14ac:dyDescent="0.3"/>
    <row r="193" spans="2:23" x14ac:dyDescent="0.3">
      <c r="B193" s="40" t="s">
        <v>184</v>
      </c>
      <c r="C193" s="40" t="s">
        <v>185</v>
      </c>
      <c r="D193" s="41"/>
      <c r="E193" s="42" t="s">
        <v>186</v>
      </c>
      <c r="F193" s="41"/>
      <c r="H193" s="40" t="s">
        <v>184</v>
      </c>
      <c r="I193" s="40" t="s">
        <v>185</v>
      </c>
      <c r="J193" s="41"/>
      <c r="K193" s="42" t="s">
        <v>186</v>
      </c>
      <c r="L193" s="41"/>
      <c r="N193" s="40" t="s">
        <v>184</v>
      </c>
      <c r="O193" s="40" t="s">
        <v>185</v>
      </c>
      <c r="P193" s="41"/>
      <c r="Q193" s="42" t="s">
        <v>186</v>
      </c>
      <c r="R193" s="41"/>
    </row>
    <row r="194" spans="2:23" x14ac:dyDescent="0.3">
      <c r="B194" s="60"/>
      <c r="C194" s="60"/>
      <c r="D194" s="44">
        <f t="shared" ref="D194:D202" si="66">IF(C194="",0,C194-B194+1)</f>
        <v>0</v>
      </c>
      <c r="E194" s="45"/>
      <c r="F194" s="46">
        <f t="shared" ref="F194:F202" si="67">+D194*E194</f>
        <v>0</v>
      </c>
      <c r="H194" s="60"/>
      <c r="I194" s="60"/>
      <c r="J194" s="44">
        <f t="shared" ref="J194:J202" si="68">IF(I194="",0,I194-H194+1)</f>
        <v>0</v>
      </c>
      <c r="K194" s="45"/>
      <c r="L194" s="46">
        <f t="shared" ref="L194:L202" si="69">+J194*K194</f>
        <v>0</v>
      </c>
      <c r="N194" s="60"/>
      <c r="O194" s="60"/>
      <c r="P194" s="44">
        <f t="shared" ref="P194:P202" si="70">IF(O194="",0,O194-N194+1)</f>
        <v>0</v>
      </c>
      <c r="Q194" s="45"/>
      <c r="R194" s="46">
        <f t="shared" ref="R194:R202" si="71">+P194*Q194</f>
        <v>0</v>
      </c>
    </row>
    <row r="195" spans="2:23" x14ac:dyDescent="0.3">
      <c r="B195" s="60"/>
      <c r="C195" s="60"/>
      <c r="D195" s="44">
        <f t="shared" si="66"/>
        <v>0</v>
      </c>
      <c r="E195" s="45"/>
      <c r="F195" s="46">
        <f t="shared" si="67"/>
        <v>0</v>
      </c>
      <c r="H195" s="60"/>
      <c r="I195" s="60"/>
      <c r="J195" s="44">
        <f t="shared" si="68"/>
        <v>0</v>
      </c>
      <c r="K195" s="45"/>
      <c r="L195" s="46">
        <f t="shared" si="69"/>
        <v>0</v>
      </c>
      <c r="N195" s="60"/>
      <c r="O195" s="60"/>
      <c r="P195" s="44">
        <f t="shared" si="70"/>
        <v>0</v>
      </c>
      <c r="Q195" s="45"/>
      <c r="R195" s="46">
        <f t="shared" si="71"/>
        <v>0</v>
      </c>
    </row>
    <row r="196" spans="2:23" x14ac:dyDescent="0.3">
      <c r="B196" s="60"/>
      <c r="C196" s="60"/>
      <c r="D196" s="44">
        <f t="shared" si="66"/>
        <v>0</v>
      </c>
      <c r="E196" s="45"/>
      <c r="F196" s="46">
        <f t="shared" si="67"/>
        <v>0</v>
      </c>
      <c r="H196" s="60"/>
      <c r="I196" s="60"/>
      <c r="J196" s="44">
        <f t="shared" si="68"/>
        <v>0</v>
      </c>
      <c r="K196" s="45"/>
      <c r="L196" s="46">
        <f t="shared" si="69"/>
        <v>0</v>
      </c>
      <c r="N196" s="60"/>
      <c r="O196" s="60"/>
      <c r="P196" s="44">
        <f t="shared" si="70"/>
        <v>0</v>
      </c>
      <c r="Q196" s="45"/>
      <c r="R196" s="46">
        <f t="shared" si="71"/>
        <v>0</v>
      </c>
    </row>
    <row r="197" spans="2:23" x14ac:dyDescent="0.3">
      <c r="B197" s="60"/>
      <c r="C197" s="60"/>
      <c r="D197" s="44">
        <f t="shared" si="66"/>
        <v>0</v>
      </c>
      <c r="E197" s="45"/>
      <c r="F197" s="46">
        <f t="shared" si="67"/>
        <v>0</v>
      </c>
      <c r="H197" s="60"/>
      <c r="I197" s="60"/>
      <c r="J197" s="44">
        <f t="shared" si="68"/>
        <v>0</v>
      </c>
      <c r="K197" s="45"/>
      <c r="L197" s="46">
        <f t="shared" si="69"/>
        <v>0</v>
      </c>
      <c r="N197" s="60"/>
      <c r="O197" s="60"/>
      <c r="P197" s="44">
        <f t="shared" si="70"/>
        <v>0</v>
      </c>
      <c r="Q197" s="45"/>
      <c r="R197" s="46">
        <f t="shared" si="71"/>
        <v>0</v>
      </c>
    </row>
    <row r="198" spans="2:23" x14ac:dyDescent="0.3">
      <c r="B198" s="60"/>
      <c r="C198" s="60"/>
      <c r="D198" s="44">
        <f t="shared" si="66"/>
        <v>0</v>
      </c>
      <c r="E198" s="45"/>
      <c r="F198" s="46">
        <f t="shared" si="67"/>
        <v>0</v>
      </c>
      <c r="H198" s="60"/>
      <c r="I198" s="60"/>
      <c r="J198" s="44">
        <f t="shared" si="68"/>
        <v>0</v>
      </c>
      <c r="K198" s="45"/>
      <c r="L198" s="46">
        <f t="shared" si="69"/>
        <v>0</v>
      </c>
      <c r="N198" s="60"/>
      <c r="O198" s="60"/>
      <c r="P198" s="44">
        <f t="shared" si="70"/>
        <v>0</v>
      </c>
      <c r="Q198" s="45"/>
      <c r="R198" s="46">
        <f t="shared" si="71"/>
        <v>0</v>
      </c>
    </row>
    <row r="199" spans="2:23" x14ac:dyDescent="0.3">
      <c r="B199" s="60"/>
      <c r="C199" s="60"/>
      <c r="D199" s="44">
        <f t="shared" si="66"/>
        <v>0</v>
      </c>
      <c r="E199" s="45"/>
      <c r="F199" s="46">
        <f t="shared" si="67"/>
        <v>0</v>
      </c>
      <c r="H199" s="60"/>
      <c r="I199" s="60"/>
      <c r="J199" s="44">
        <f t="shared" si="68"/>
        <v>0</v>
      </c>
      <c r="K199" s="45"/>
      <c r="L199" s="46">
        <f t="shared" si="69"/>
        <v>0</v>
      </c>
      <c r="N199" s="60"/>
      <c r="O199" s="60"/>
      <c r="P199" s="44">
        <f t="shared" si="70"/>
        <v>0</v>
      </c>
      <c r="Q199" s="45"/>
      <c r="R199" s="46">
        <f t="shared" si="71"/>
        <v>0</v>
      </c>
    </row>
    <row r="200" spans="2:23" x14ac:dyDescent="0.3">
      <c r="B200" s="61"/>
      <c r="C200" s="61"/>
      <c r="D200" s="44">
        <f t="shared" si="66"/>
        <v>0</v>
      </c>
      <c r="E200" s="45"/>
      <c r="F200" s="46">
        <f t="shared" si="67"/>
        <v>0</v>
      </c>
      <c r="H200" s="61"/>
      <c r="I200" s="61"/>
      <c r="J200" s="44">
        <f t="shared" si="68"/>
        <v>0</v>
      </c>
      <c r="K200" s="45"/>
      <c r="L200" s="46">
        <f t="shared" si="69"/>
        <v>0</v>
      </c>
      <c r="N200" s="61"/>
      <c r="O200" s="61"/>
      <c r="P200" s="44">
        <f t="shared" si="70"/>
        <v>0</v>
      </c>
      <c r="Q200" s="45"/>
      <c r="R200" s="46">
        <f t="shared" si="71"/>
        <v>0</v>
      </c>
    </row>
    <row r="201" spans="2:23" x14ac:dyDescent="0.3">
      <c r="B201" s="61"/>
      <c r="C201" s="61"/>
      <c r="D201" s="44">
        <f t="shared" si="66"/>
        <v>0</v>
      </c>
      <c r="E201" s="45"/>
      <c r="F201" s="46">
        <f t="shared" si="67"/>
        <v>0</v>
      </c>
      <c r="H201" s="61"/>
      <c r="I201" s="61"/>
      <c r="J201" s="44">
        <f t="shared" si="68"/>
        <v>0</v>
      </c>
      <c r="K201" s="45"/>
      <c r="L201" s="46">
        <f t="shared" si="69"/>
        <v>0</v>
      </c>
      <c r="N201" s="61"/>
      <c r="O201" s="61"/>
      <c r="P201" s="44">
        <f t="shared" si="70"/>
        <v>0</v>
      </c>
      <c r="Q201" s="45"/>
      <c r="R201" s="46">
        <f t="shared" si="71"/>
        <v>0</v>
      </c>
    </row>
    <row r="202" spans="2:23" x14ac:dyDescent="0.3">
      <c r="B202" s="61"/>
      <c r="C202" s="61"/>
      <c r="D202" s="44">
        <f t="shared" si="66"/>
        <v>0</v>
      </c>
      <c r="E202" s="45"/>
      <c r="F202" s="46">
        <f t="shared" si="67"/>
        <v>0</v>
      </c>
      <c r="H202" s="61"/>
      <c r="I202" s="61"/>
      <c r="J202" s="44">
        <f t="shared" si="68"/>
        <v>0</v>
      </c>
      <c r="K202" s="45"/>
      <c r="L202" s="46">
        <f t="shared" si="69"/>
        <v>0</v>
      </c>
      <c r="N202" s="61"/>
      <c r="O202" s="61"/>
      <c r="P202" s="44">
        <f t="shared" si="70"/>
        <v>0</v>
      </c>
      <c r="Q202" s="45"/>
      <c r="R202" s="46">
        <f t="shared" si="71"/>
        <v>0</v>
      </c>
    </row>
    <row r="203" spans="2:23" ht="4.5" customHeight="1" x14ac:dyDescent="0.3"/>
    <row r="204" spans="2:23" x14ac:dyDescent="0.3">
      <c r="C204" s="48" t="s">
        <v>46</v>
      </c>
      <c r="D204" s="62">
        <f>SUM(D194:D202)</f>
        <v>0</v>
      </c>
      <c r="F204" s="49">
        <f>SUM(F194:F202)</f>
        <v>0</v>
      </c>
      <c r="I204" s="48" t="s">
        <v>46</v>
      </c>
      <c r="J204" s="62">
        <f>SUM(J194:J202)</f>
        <v>0</v>
      </c>
      <c r="L204" s="49">
        <f>SUM(L194:L202)</f>
        <v>0</v>
      </c>
      <c r="O204" s="48" t="s">
        <v>46</v>
      </c>
      <c r="P204" s="62">
        <f>SUM(P194:P202)</f>
        <v>0</v>
      </c>
      <c r="R204" s="49">
        <f>SUM(R194:R202)</f>
        <v>0</v>
      </c>
    </row>
    <row r="205" spans="2:23" ht="3.75" customHeight="1" x14ac:dyDescent="0.3"/>
    <row r="206" spans="2:23" x14ac:dyDescent="0.3">
      <c r="E206" s="50" t="s">
        <v>45</v>
      </c>
      <c r="F206" s="51">
        <f>IF(D204=0,0,F204/D204)</f>
        <v>0</v>
      </c>
      <c r="K206" s="50" t="s">
        <v>45</v>
      </c>
      <c r="L206" s="51">
        <f>IF(J204=0,0,L204/J204)</f>
        <v>0</v>
      </c>
      <c r="Q206" s="50" t="s">
        <v>45</v>
      </c>
      <c r="R206" s="51">
        <f>IF(P204=0,0,R204/P204)</f>
        <v>0</v>
      </c>
    </row>
    <row r="208" spans="2:23" x14ac:dyDescent="0.3">
      <c r="B208" s="59" t="s">
        <v>191</v>
      </c>
      <c r="C208" s="523"/>
      <c r="D208" s="523"/>
      <c r="E208" s="523"/>
      <c r="F208" s="523"/>
      <c r="H208" s="59" t="s">
        <v>191</v>
      </c>
      <c r="I208" s="523"/>
      <c r="J208" s="523"/>
      <c r="K208" s="523"/>
      <c r="L208" s="523"/>
      <c r="N208" s="59" t="s">
        <v>191</v>
      </c>
      <c r="O208" s="523"/>
      <c r="P208" s="523"/>
      <c r="Q208" s="523"/>
      <c r="R208" s="523"/>
      <c r="U208" s="46" t="str">
        <f>IF(C208&gt;"",C208,"")</f>
        <v/>
      </c>
      <c r="V208" s="46" t="str">
        <f>IF(I208&gt;"",I208,"")</f>
        <v/>
      </c>
      <c r="W208" s="46" t="str">
        <f>IF(O208&gt;"",O208,"")</f>
        <v/>
      </c>
    </row>
    <row r="209" spans="2:18" ht="4.5" customHeight="1" x14ac:dyDescent="0.3"/>
    <row r="210" spans="2:18" x14ac:dyDescent="0.3">
      <c r="B210" s="40" t="s">
        <v>184</v>
      </c>
      <c r="C210" s="40" t="s">
        <v>185</v>
      </c>
      <c r="D210" s="41"/>
      <c r="E210" s="42" t="s">
        <v>186</v>
      </c>
      <c r="F210" s="41"/>
      <c r="H210" s="40" t="s">
        <v>184</v>
      </c>
      <c r="I210" s="40" t="s">
        <v>185</v>
      </c>
      <c r="J210" s="41"/>
      <c r="K210" s="42" t="s">
        <v>186</v>
      </c>
      <c r="L210" s="41"/>
      <c r="N210" s="40" t="s">
        <v>184</v>
      </c>
      <c r="O210" s="40" t="s">
        <v>185</v>
      </c>
      <c r="P210" s="41"/>
      <c r="Q210" s="42" t="s">
        <v>186</v>
      </c>
      <c r="R210" s="41"/>
    </row>
    <row r="211" spans="2:18" x14ac:dyDescent="0.3">
      <c r="B211" s="60"/>
      <c r="C211" s="60"/>
      <c r="D211" s="44">
        <f t="shared" ref="D211:D219" si="72">IF(C211="",0,C211-B211+1)</f>
        <v>0</v>
      </c>
      <c r="E211" s="45"/>
      <c r="F211" s="46">
        <f t="shared" ref="F211:F219" si="73">+D211*E211</f>
        <v>0</v>
      </c>
      <c r="H211" s="60"/>
      <c r="I211" s="60"/>
      <c r="J211" s="44">
        <f t="shared" ref="J211:J219" si="74">IF(I211="",0,I211-H211+1)</f>
        <v>0</v>
      </c>
      <c r="K211" s="45"/>
      <c r="L211" s="46">
        <f t="shared" ref="L211:L219" si="75">+J211*K211</f>
        <v>0</v>
      </c>
      <c r="N211" s="60"/>
      <c r="O211" s="60"/>
      <c r="P211" s="44">
        <f t="shared" ref="P211:P219" si="76">IF(O211="",0,O211-N211+1)</f>
        <v>0</v>
      </c>
      <c r="Q211" s="45"/>
      <c r="R211" s="46">
        <f t="shared" ref="R211:R219" si="77">+P211*Q211</f>
        <v>0</v>
      </c>
    </row>
    <row r="212" spans="2:18" x14ac:dyDescent="0.3">
      <c r="B212" s="60"/>
      <c r="C212" s="60"/>
      <c r="D212" s="44">
        <f t="shared" si="72"/>
        <v>0</v>
      </c>
      <c r="E212" s="45"/>
      <c r="F212" s="46">
        <f t="shared" si="73"/>
        <v>0</v>
      </c>
      <c r="H212" s="60"/>
      <c r="I212" s="60"/>
      <c r="J212" s="44">
        <f t="shared" si="74"/>
        <v>0</v>
      </c>
      <c r="K212" s="45"/>
      <c r="L212" s="46">
        <f t="shared" si="75"/>
        <v>0</v>
      </c>
      <c r="N212" s="60"/>
      <c r="O212" s="60"/>
      <c r="P212" s="44">
        <f t="shared" si="76"/>
        <v>0</v>
      </c>
      <c r="Q212" s="45"/>
      <c r="R212" s="46">
        <f t="shared" si="77"/>
        <v>0</v>
      </c>
    </row>
    <row r="213" spans="2:18" x14ac:dyDescent="0.3">
      <c r="B213" s="60"/>
      <c r="C213" s="60"/>
      <c r="D213" s="44">
        <f t="shared" si="72"/>
        <v>0</v>
      </c>
      <c r="E213" s="45"/>
      <c r="F213" s="46">
        <f t="shared" si="73"/>
        <v>0</v>
      </c>
      <c r="H213" s="60"/>
      <c r="I213" s="60"/>
      <c r="J213" s="44">
        <f t="shared" si="74"/>
        <v>0</v>
      </c>
      <c r="K213" s="45"/>
      <c r="L213" s="46">
        <f t="shared" si="75"/>
        <v>0</v>
      </c>
      <c r="N213" s="60"/>
      <c r="O213" s="60"/>
      <c r="P213" s="44">
        <f t="shared" si="76"/>
        <v>0</v>
      </c>
      <c r="Q213" s="45"/>
      <c r="R213" s="46">
        <f t="shared" si="77"/>
        <v>0</v>
      </c>
    </row>
    <row r="214" spans="2:18" x14ac:dyDescent="0.3">
      <c r="B214" s="60"/>
      <c r="C214" s="60"/>
      <c r="D214" s="44">
        <f t="shared" si="72"/>
        <v>0</v>
      </c>
      <c r="E214" s="45"/>
      <c r="F214" s="46">
        <f t="shared" si="73"/>
        <v>0</v>
      </c>
      <c r="H214" s="60"/>
      <c r="I214" s="60"/>
      <c r="J214" s="44">
        <f t="shared" si="74"/>
        <v>0</v>
      </c>
      <c r="K214" s="45"/>
      <c r="L214" s="46">
        <f t="shared" si="75"/>
        <v>0</v>
      </c>
      <c r="N214" s="60"/>
      <c r="O214" s="60"/>
      <c r="P214" s="44">
        <f t="shared" si="76"/>
        <v>0</v>
      </c>
      <c r="Q214" s="45"/>
      <c r="R214" s="46">
        <f t="shared" si="77"/>
        <v>0</v>
      </c>
    </row>
    <row r="215" spans="2:18" x14ac:dyDescent="0.3">
      <c r="B215" s="60"/>
      <c r="C215" s="60"/>
      <c r="D215" s="44">
        <f t="shared" si="72"/>
        <v>0</v>
      </c>
      <c r="E215" s="45"/>
      <c r="F215" s="46">
        <f t="shared" si="73"/>
        <v>0</v>
      </c>
      <c r="H215" s="60"/>
      <c r="I215" s="60"/>
      <c r="J215" s="44">
        <f t="shared" si="74"/>
        <v>0</v>
      </c>
      <c r="K215" s="45"/>
      <c r="L215" s="46">
        <f t="shared" si="75"/>
        <v>0</v>
      </c>
      <c r="N215" s="60"/>
      <c r="O215" s="60"/>
      <c r="P215" s="44">
        <f t="shared" si="76"/>
        <v>0</v>
      </c>
      <c r="Q215" s="45"/>
      <c r="R215" s="46">
        <f t="shared" si="77"/>
        <v>0</v>
      </c>
    </row>
    <row r="216" spans="2:18" x14ac:dyDescent="0.3">
      <c r="B216" s="60"/>
      <c r="C216" s="60"/>
      <c r="D216" s="44">
        <f t="shared" si="72"/>
        <v>0</v>
      </c>
      <c r="E216" s="45"/>
      <c r="F216" s="46">
        <f t="shared" si="73"/>
        <v>0</v>
      </c>
      <c r="H216" s="60"/>
      <c r="I216" s="60"/>
      <c r="J216" s="44">
        <f t="shared" si="74"/>
        <v>0</v>
      </c>
      <c r="K216" s="45"/>
      <c r="L216" s="46">
        <f t="shared" si="75"/>
        <v>0</v>
      </c>
      <c r="N216" s="60"/>
      <c r="O216" s="60"/>
      <c r="P216" s="44">
        <f t="shared" si="76"/>
        <v>0</v>
      </c>
      <c r="Q216" s="45"/>
      <c r="R216" s="46">
        <f t="shared" si="77"/>
        <v>0</v>
      </c>
    </row>
    <row r="217" spans="2:18" x14ac:dyDescent="0.3">
      <c r="B217" s="61"/>
      <c r="C217" s="61"/>
      <c r="D217" s="44">
        <f t="shared" si="72"/>
        <v>0</v>
      </c>
      <c r="E217" s="45"/>
      <c r="F217" s="46">
        <f t="shared" si="73"/>
        <v>0</v>
      </c>
      <c r="H217" s="61"/>
      <c r="I217" s="61"/>
      <c r="J217" s="44">
        <f t="shared" si="74"/>
        <v>0</v>
      </c>
      <c r="K217" s="45"/>
      <c r="L217" s="46">
        <f t="shared" si="75"/>
        <v>0</v>
      </c>
      <c r="N217" s="61"/>
      <c r="O217" s="61"/>
      <c r="P217" s="44">
        <f t="shared" si="76"/>
        <v>0</v>
      </c>
      <c r="Q217" s="45"/>
      <c r="R217" s="46">
        <f t="shared" si="77"/>
        <v>0</v>
      </c>
    </row>
    <row r="218" spans="2:18" x14ac:dyDescent="0.3">
      <c r="B218" s="61"/>
      <c r="C218" s="61"/>
      <c r="D218" s="44">
        <f t="shared" si="72"/>
        <v>0</v>
      </c>
      <c r="E218" s="45"/>
      <c r="F218" s="46">
        <f t="shared" si="73"/>
        <v>0</v>
      </c>
      <c r="H218" s="61"/>
      <c r="I218" s="61"/>
      <c r="J218" s="44">
        <f t="shared" si="74"/>
        <v>0</v>
      </c>
      <c r="K218" s="45"/>
      <c r="L218" s="46">
        <f t="shared" si="75"/>
        <v>0</v>
      </c>
      <c r="N218" s="61"/>
      <c r="O218" s="61"/>
      <c r="P218" s="44">
        <f t="shared" si="76"/>
        <v>0</v>
      </c>
      <c r="Q218" s="45"/>
      <c r="R218" s="46">
        <f t="shared" si="77"/>
        <v>0</v>
      </c>
    </row>
    <row r="219" spans="2:18" x14ac:dyDescent="0.3">
      <c r="B219" s="61"/>
      <c r="C219" s="61"/>
      <c r="D219" s="44">
        <f t="shared" si="72"/>
        <v>0</v>
      </c>
      <c r="E219" s="45"/>
      <c r="F219" s="46">
        <f t="shared" si="73"/>
        <v>0</v>
      </c>
      <c r="H219" s="61"/>
      <c r="I219" s="61"/>
      <c r="J219" s="44">
        <f t="shared" si="74"/>
        <v>0</v>
      </c>
      <c r="K219" s="45"/>
      <c r="L219" s="46">
        <f t="shared" si="75"/>
        <v>0</v>
      </c>
      <c r="N219" s="61"/>
      <c r="O219" s="61"/>
      <c r="P219" s="44">
        <f t="shared" si="76"/>
        <v>0</v>
      </c>
      <c r="Q219" s="45"/>
      <c r="R219" s="46">
        <f t="shared" si="77"/>
        <v>0</v>
      </c>
    </row>
    <row r="220" spans="2:18" ht="4.5" customHeight="1" x14ac:dyDescent="0.3"/>
    <row r="221" spans="2:18" x14ac:dyDescent="0.3">
      <c r="C221" s="48" t="s">
        <v>46</v>
      </c>
      <c r="D221" s="62">
        <f>SUM(D211:D219)</f>
        <v>0</v>
      </c>
      <c r="F221" s="49">
        <f>SUM(F211:F219)</f>
        <v>0</v>
      </c>
      <c r="I221" s="48" t="s">
        <v>46</v>
      </c>
      <c r="J221" s="62">
        <f>SUM(J211:J219)</f>
        <v>0</v>
      </c>
      <c r="L221" s="49">
        <f>SUM(L211:L219)</f>
        <v>0</v>
      </c>
      <c r="O221" s="48" t="s">
        <v>46</v>
      </c>
      <c r="P221" s="62">
        <f>SUM(P211:P219)</f>
        <v>0</v>
      </c>
      <c r="R221" s="49">
        <f>SUM(R211:R219)</f>
        <v>0</v>
      </c>
    </row>
    <row r="222" spans="2:18" ht="3.75" customHeight="1" x14ac:dyDescent="0.3"/>
    <row r="223" spans="2:18" x14ac:dyDescent="0.3">
      <c r="E223" s="50" t="s">
        <v>45</v>
      </c>
      <c r="F223" s="51">
        <f>IF(D221=0,0,F221/D221)</f>
        <v>0</v>
      </c>
      <c r="K223" s="50" t="s">
        <v>45</v>
      </c>
      <c r="L223" s="51">
        <f>IF(J221=0,0,L221/J221)</f>
        <v>0</v>
      </c>
      <c r="Q223" s="50" t="s">
        <v>45</v>
      </c>
      <c r="R223" s="51">
        <f>IF(P221=0,0,R221/P221)</f>
        <v>0</v>
      </c>
    </row>
    <row r="224" spans="2:18" ht="25.8" x14ac:dyDescent="0.5">
      <c r="B224" s="58"/>
      <c r="H224" s="58"/>
      <c r="N224" s="58"/>
    </row>
    <row r="225" spans="2:23" x14ac:dyDescent="0.3">
      <c r="B225" s="59" t="s">
        <v>191</v>
      </c>
      <c r="C225" s="523"/>
      <c r="D225" s="523"/>
      <c r="E225" s="523"/>
      <c r="F225" s="523"/>
      <c r="H225" s="59" t="s">
        <v>191</v>
      </c>
      <c r="I225" s="523"/>
      <c r="J225" s="523"/>
      <c r="K225" s="523"/>
      <c r="L225" s="523"/>
      <c r="N225" s="59" t="s">
        <v>191</v>
      </c>
      <c r="O225" s="523"/>
      <c r="P225" s="523"/>
      <c r="Q225" s="523"/>
      <c r="R225" s="523"/>
      <c r="U225" s="46" t="str">
        <f>IF(C225&gt;"",C225,"")</f>
        <v/>
      </c>
      <c r="V225" s="46" t="str">
        <f>IF(I225&gt;"",I225,"")</f>
        <v/>
      </c>
      <c r="W225" s="46" t="str">
        <f>IF(O225&gt;"",O225,"")</f>
        <v/>
      </c>
    </row>
    <row r="226" spans="2:23" ht="4.5" customHeight="1" x14ac:dyDescent="0.3"/>
    <row r="227" spans="2:23" x14ac:dyDescent="0.3">
      <c r="B227" s="40" t="s">
        <v>184</v>
      </c>
      <c r="C227" s="40" t="s">
        <v>185</v>
      </c>
      <c r="D227" s="41"/>
      <c r="E227" s="42" t="s">
        <v>186</v>
      </c>
      <c r="F227" s="41"/>
      <c r="H227" s="40" t="s">
        <v>184</v>
      </c>
      <c r="I227" s="40" t="s">
        <v>185</v>
      </c>
      <c r="J227" s="41"/>
      <c r="K227" s="42" t="s">
        <v>186</v>
      </c>
      <c r="L227" s="41"/>
      <c r="N227" s="40" t="s">
        <v>184</v>
      </c>
      <c r="O227" s="40" t="s">
        <v>185</v>
      </c>
      <c r="P227" s="41"/>
      <c r="Q227" s="42" t="s">
        <v>186</v>
      </c>
      <c r="R227" s="41"/>
    </row>
    <row r="228" spans="2:23" x14ac:dyDescent="0.3">
      <c r="B228" s="60"/>
      <c r="C228" s="60"/>
      <c r="D228" s="44">
        <f t="shared" ref="D228:D236" si="78">IF(C228="",0,C228-B228+1)</f>
        <v>0</v>
      </c>
      <c r="E228" s="45"/>
      <c r="F228" s="46">
        <f t="shared" ref="F228:F236" si="79">+D228*E228</f>
        <v>0</v>
      </c>
      <c r="H228" s="60"/>
      <c r="I228" s="60"/>
      <c r="J228" s="44">
        <f t="shared" ref="J228:J236" si="80">IF(I228="",0,I228-H228+1)</f>
        <v>0</v>
      </c>
      <c r="K228" s="45"/>
      <c r="L228" s="46">
        <f t="shared" ref="L228:L236" si="81">+J228*K228</f>
        <v>0</v>
      </c>
      <c r="N228" s="60"/>
      <c r="O228" s="60"/>
      <c r="P228" s="44">
        <f t="shared" ref="P228:P236" si="82">IF(O228="",0,O228-N228+1)</f>
        <v>0</v>
      </c>
      <c r="Q228" s="45"/>
      <c r="R228" s="46">
        <f t="shared" ref="R228:R236" si="83">+P228*Q228</f>
        <v>0</v>
      </c>
    </row>
    <row r="229" spans="2:23" x14ac:dyDescent="0.3">
      <c r="B229" s="60"/>
      <c r="C229" s="60"/>
      <c r="D229" s="44">
        <f t="shared" si="78"/>
        <v>0</v>
      </c>
      <c r="E229" s="45"/>
      <c r="F229" s="46">
        <f t="shared" si="79"/>
        <v>0</v>
      </c>
      <c r="H229" s="60"/>
      <c r="I229" s="60"/>
      <c r="J229" s="44">
        <f t="shared" si="80"/>
        <v>0</v>
      </c>
      <c r="K229" s="45"/>
      <c r="L229" s="46">
        <f t="shared" si="81"/>
        <v>0</v>
      </c>
      <c r="N229" s="60"/>
      <c r="O229" s="60"/>
      <c r="P229" s="44">
        <f t="shared" si="82"/>
        <v>0</v>
      </c>
      <c r="Q229" s="45"/>
      <c r="R229" s="46">
        <f t="shared" si="83"/>
        <v>0</v>
      </c>
    </row>
    <row r="230" spans="2:23" x14ac:dyDescent="0.3">
      <c r="B230" s="60"/>
      <c r="C230" s="60"/>
      <c r="D230" s="44">
        <f t="shared" si="78"/>
        <v>0</v>
      </c>
      <c r="E230" s="45"/>
      <c r="F230" s="46">
        <f t="shared" si="79"/>
        <v>0</v>
      </c>
      <c r="H230" s="60"/>
      <c r="I230" s="60"/>
      <c r="J230" s="44">
        <f t="shared" si="80"/>
        <v>0</v>
      </c>
      <c r="K230" s="45"/>
      <c r="L230" s="46">
        <f t="shared" si="81"/>
        <v>0</v>
      </c>
      <c r="N230" s="60"/>
      <c r="O230" s="60"/>
      <c r="P230" s="44">
        <f t="shared" si="82"/>
        <v>0</v>
      </c>
      <c r="Q230" s="45"/>
      <c r="R230" s="46">
        <f t="shared" si="83"/>
        <v>0</v>
      </c>
    </row>
    <row r="231" spans="2:23" x14ac:dyDescent="0.3">
      <c r="B231" s="60"/>
      <c r="C231" s="60"/>
      <c r="D231" s="44">
        <f t="shared" si="78"/>
        <v>0</v>
      </c>
      <c r="E231" s="45"/>
      <c r="F231" s="46">
        <f t="shared" si="79"/>
        <v>0</v>
      </c>
      <c r="H231" s="60"/>
      <c r="I231" s="60"/>
      <c r="J231" s="44">
        <f t="shared" si="80"/>
        <v>0</v>
      </c>
      <c r="K231" s="45"/>
      <c r="L231" s="46">
        <f t="shared" si="81"/>
        <v>0</v>
      </c>
      <c r="N231" s="60"/>
      <c r="O231" s="60"/>
      <c r="P231" s="44">
        <f t="shared" si="82"/>
        <v>0</v>
      </c>
      <c r="Q231" s="45"/>
      <c r="R231" s="46">
        <f t="shared" si="83"/>
        <v>0</v>
      </c>
    </row>
    <row r="232" spans="2:23" x14ac:dyDescent="0.3">
      <c r="B232" s="60"/>
      <c r="C232" s="60"/>
      <c r="D232" s="44">
        <f t="shared" si="78"/>
        <v>0</v>
      </c>
      <c r="E232" s="45"/>
      <c r="F232" s="46">
        <f t="shared" si="79"/>
        <v>0</v>
      </c>
      <c r="H232" s="60"/>
      <c r="I232" s="60"/>
      <c r="J232" s="44">
        <f t="shared" si="80"/>
        <v>0</v>
      </c>
      <c r="K232" s="45"/>
      <c r="L232" s="46">
        <f t="shared" si="81"/>
        <v>0</v>
      </c>
      <c r="N232" s="60"/>
      <c r="O232" s="60"/>
      <c r="P232" s="44">
        <f t="shared" si="82"/>
        <v>0</v>
      </c>
      <c r="Q232" s="45"/>
      <c r="R232" s="46">
        <f t="shared" si="83"/>
        <v>0</v>
      </c>
    </row>
    <row r="233" spans="2:23" x14ac:dyDescent="0.3">
      <c r="B233" s="60"/>
      <c r="C233" s="60"/>
      <c r="D233" s="44">
        <f t="shared" si="78"/>
        <v>0</v>
      </c>
      <c r="E233" s="45"/>
      <c r="F233" s="46">
        <f t="shared" si="79"/>
        <v>0</v>
      </c>
      <c r="H233" s="60"/>
      <c r="I233" s="60"/>
      <c r="J233" s="44">
        <f t="shared" si="80"/>
        <v>0</v>
      </c>
      <c r="K233" s="45"/>
      <c r="L233" s="46">
        <f t="shared" si="81"/>
        <v>0</v>
      </c>
      <c r="N233" s="60"/>
      <c r="O233" s="60"/>
      <c r="P233" s="44">
        <f t="shared" si="82"/>
        <v>0</v>
      </c>
      <c r="Q233" s="45"/>
      <c r="R233" s="46">
        <f t="shared" si="83"/>
        <v>0</v>
      </c>
    </row>
    <row r="234" spans="2:23" x14ac:dyDescent="0.3">
      <c r="B234" s="61"/>
      <c r="C234" s="61"/>
      <c r="D234" s="44">
        <f t="shared" si="78"/>
        <v>0</v>
      </c>
      <c r="E234" s="45"/>
      <c r="F234" s="46">
        <f t="shared" si="79"/>
        <v>0</v>
      </c>
      <c r="H234" s="61"/>
      <c r="I234" s="61"/>
      <c r="J234" s="44">
        <f t="shared" si="80"/>
        <v>0</v>
      </c>
      <c r="K234" s="45"/>
      <c r="L234" s="46">
        <f t="shared" si="81"/>
        <v>0</v>
      </c>
      <c r="N234" s="61"/>
      <c r="O234" s="61"/>
      <c r="P234" s="44">
        <f t="shared" si="82"/>
        <v>0</v>
      </c>
      <c r="Q234" s="45"/>
      <c r="R234" s="46">
        <f t="shared" si="83"/>
        <v>0</v>
      </c>
    </row>
    <row r="235" spans="2:23" x14ac:dyDescent="0.3">
      <c r="B235" s="61"/>
      <c r="C235" s="61"/>
      <c r="D235" s="44">
        <f t="shared" si="78"/>
        <v>0</v>
      </c>
      <c r="E235" s="45"/>
      <c r="F235" s="46">
        <f t="shared" si="79"/>
        <v>0</v>
      </c>
      <c r="H235" s="61"/>
      <c r="I235" s="61"/>
      <c r="J235" s="44">
        <f t="shared" si="80"/>
        <v>0</v>
      </c>
      <c r="K235" s="45"/>
      <c r="L235" s="46">
        <f t="shared" si="81"/>
        <v>0</v>
      </c>
      <c r="N235" s="61"/>
      <c r="O235" s="61"/>
      <c r="P235" s="44">
        <f t="shared" si="82"/>
        <v>0</v>
      </c>
      <c r="Q235" s="45"/>
      <c r="R235" s="46">
        <f t="shared" si="83"/>
        <v>0</v>
      </c>
    </row>
    <row r="236" spans="2:23" x14ac:dyDescent="0.3">
      <c r="B236" s="61"/>
      <c r="C236" s="61"/>
      <c r="D236" s="44">
        <f t="shared" si="78"/>
        <v>0</v>
      </c>
      <c r="E236" s="45"/>
      <c r="F236" s="46">
        <f t="shared" si="79"/>
        <v>0</v>
      </c>
      <c r="H236" s="61"/>
      <c r="I236" s="61"/>
      <c r="J236" s="44">
        <f t="shared" si="80"/>
        <v>0</v>
      </c>
      <c r="K236" s="45"/>
      <c r="L236" s="46">
        <f t="shared" si="81"/>
        <v>0</v>
      </c>
      <c r="N236" s="61"/>
      <c r="O236" s="61"/>
      <c r="P236" s="44">
        <f t="shared" si="82"/>
        <v>0</v>
      </c>
      <c r="Q236" s="45"/>
      <c r="R236" s="46">
        <f t="shared" si="83"/>
        <v>0</v>
      </c>
    </row>
    <row r="237" spans="2:23" ht="4.5" customHeight="1" x14ac:dyDescent="0.3">
      <c r="H237" s="64"/>
      <c r="I237" s="64"/>
    </row>
    <row r="238" spans="2:23" x14ac:dyDescent="0.3">
      <c r="C238" s="48" t="s">
        <v>46</v>
      </c>
      <c r="D238" s="62">
        <f>SUM(D228:D236)</f>
        <v>0</v>
      </c>
      <c r="F238" s="49">
        <f>SUM(F228:F236)</f>
        <v>0</v>
      </c>
      <c r="I238" s="48" t="s">
        <v>46</v>
      </c>
      <c r="J238" s="62">
        <f>SUM(J228:J236)</f>
        <v>0</v>
      </c>
      <c r="L238" s="49">
        <f>SUM(L228:L236)</f>
        <v>0</v>
      </c>
      <c r="O238" s="48" t="s">
        <v>46</v>
      </c>
      <c r="P238" s="62">
        <f>SUM(P228:P236)</f>
        <v>0</v>
      </c>
      <c r="R238" s="49">
        <f>SUM(R228:R236)</f>
        <v>0</v>
      </c>
    </row>
    <row r="239" spans="2:23" ht="3.75" customHeight="1" x14ac:dyDescent="0.3"/>
    <row r="240" spans="2:23" x14ac:dyDescent="0.3">
      <c r="E240" s="50" t="s">
        <v>45</v>
      </c>
      <c r="F240" s="51">
        <f>IF(D238=0,0,F238/D238)</f>
        <v>0</v>
      </c>
      <c r="K240" s="50" t="s">
        <v>45</v>
      </c>
      <c r="L240" s="51">
        <f>IF(J238=0,0,L238/J238)</f>
        <v>0</v>
      </c>
      <c r="Q240" s="50" t="s">
        <v>45</v>
      </c>
      <c r="R240" s="51">
        <f>IF(P238=0,0,R238/P238)</f>
        <v>0</v>
      </c>
    </row>
    <row r="242" spans="2:23" x14ac:dyDescent="0.3">
      <c r="B242" s="59" t="s">
        <v>191</v>
      </c>
      <c r="C242" s="523"/>
      <c r="D242" s="523"/>
      <c r="E242" s="523"/>
      <c r="F242" s="523"/>
      <c r="H242" s="59" t="s">
        <v>191</v>
      </c>
      <c r="I242" s="523"/>
      <c r="J242" s="523"/>
      <c r="K242" s="523"/>
      <c r="L242" s="523"/>
      <c r="N242" s="59" t="s">
        <v>191</v>
      </c>
      <c r="O242" s="523"/>
      <c r="P242" s="523"/>
      <c r="Q242" s="523"/>
      <c r="R242" s="523"/>
      <c r="U242" s="46" t="str">
        <f>IF(C242&gt;"",C242,"")</f>
        <v/>
      </c>
      <c r="V242" s="46" t="str">
        <f>IF(I242&gt;"",I242,"")</f>
        <v/>
      </c>
      <c r="W242" s="46" t="str">
        <f>IF(O242&gt;"",O242,"")</f>
        <v/>
      </c>
    </row>
    <row r="243" spans="2:23" ht="4.5" customHeight="1" x14ac:dyDescent="0.3"/>
    <row r="244" spans="2:23" x14ac:dyDescent="0.3">
      <c r="B244" s="40" t="s">
        <v>184</v>
      </c>
      <c r="C244" s="40" t="s">
        <v>185</v>
      </c>
      <c r="D244" s="41"/>
      <c r="E244" s="42" t="s">
        <v>186</v>
      </c>
      <c r="F244" s="41"/>
      <c r="H244" s="40" t="s">
        <v>184</v>
      </c>
      <c r="I244" s="40" t="s">
        <v>185</v>
      </c>
      <c r="J244" s="41"/>
      <c r="K244" s="42" t="s">
        <v>186</v>
      </c>
      <c r="L244" s="41"/>
      <c r="N244" s="40" t="s">
        <v>184</v>
      </c>
      <c r="O244" s="40" t="s">
        <v>185</v>
      </c>
      <c r="P244" s="41"/>
      <c r="Q244" s="42" t="s">
        <v>186</v>
      </c>
      <c r="R244" s="41"/>
    </row>
    <row r="245" spans="2:23" x14ac:dyDescent="0.3">
      <c r="B245" s="60"/>
      <c r="C245" s="60"/>
      <c r="D245" s="44">
        <f t="shared" ref="D245:D253" si="84">IF(C245="",0,C245-B245+1)</f>
        <v>0</v>
      </c>
      <c r="E245" s="45"/>
      <c r="F245" s="46">
        <f t="shared" ref="F245:F253" si="85">+D245*E245</f>
        <v>0</v>
      </c>
      <c r="H245" s="60"/>
      <c r="I245" s="60"/>
      <c r="J245" s="44">
        <f t="shared" ref="J245:J253" si="86">IF(I245="",0,I245-H245+1)</f>
        <v>0</v>
      </c>
      <c r="K245" s="45"/>
      <c r="L245" s="46">
        <f t="shared" ref="L245:L253" si="87">+J245*K245</f>
        <v>0</v>
      </c>
      <c r="N245" s="60"/>
      <c r="O245" s="60"/>
      <c r="P245" s="44">
        <f t="shared" ref="P245:P253" si="88">IF(O245="",0,O245-N245+1)</f>
        <v>0</v>
      </c>
      <c r="Q245" s="45"/>
      <c r="R245" s="46">
        <f t="shared" ref="R245:R253" si="89">+P245*Q245</f>
        <v>0</v>
      </c>
    </row>
    <row r="246" spans="2:23" x14ac:dyDescent="0.3">
      <c r="B246" s="60"/>
      <c r="C246" s="60"/>
      <c r="D246" s="44">
        <f t="shared" si="84"/>
        <v>0</v>
      </c>
      <c r="E246" s="45"/>
      <c r="F246" s="46">
        <f t="shared" si="85"/>
        <v>0</v>
      </c>
      <c r="H246" s="60"/>
      <c r="I246" s="60"/>
      <c r="J246" s="44">
        <f t="shared" si="86"/>
        <v>0</v>
      </c>
      <c r="K246" s="45"/>
      <c r="L246" s="46">
        <f t="shared" si="87"/>
        <v>0</v>
      </c>
      <c r="N246" s="60"/>
      <c r="O246" s="60"/>
      <c r="P246" s="44">
        <f t="shared" si="88"/>
        <v>0</v>
      </c>
      <c r="Q246" s="45"/>
      <c r="R246" s="46">
        <f t="shared" si="89"/>
        <v>0</v>
      </c>
    </row>
    <row r="247" spans="2:23" x14ac:dyDescent="0.3">
      <c r="B247" s="60"/>
      <c r="C247" s="60"/>
      <c r="D247" s="44">
        <f t="shared" si="84"/>
        <v>0</v>
      </c>
      <c r="E247" s="45"/>
      <c r="F247" s="46">
        <f t="shared" si="85"/>
        <v>0</v>
      </c>
      <c r="H247" s="60"/>
      <c r="I247" s="60"/>
      <c r="J247" s="44">
        <f t="shared" si="86"/>
        <v>0</v>
      </c>
      <c r="K247" s="45"/>
      <c r="L247" s="46">
        <f t="shared" si="87"/>
        <v>0</v>
      </c>
      <c r="N247" s="60"/>
      <c r="O247" s="60"/>
      <c r="P247" s="44">
        <f t="shared" si="88"/>
        <v>0</v>
      </c>
      <c r="Q247" s="45"/>
      <c r="R247" s="46">
        <f t="shared" si="89"/>
        <v>0</v>
      </c>
    </row>
    <row r="248" spans="2:23" x14ac:dyDescent="0.3">
      <c r="B248" s="60"/>
      <c r="C248" s="60"/>
      <c r="D248" s="44">
        <f t="shared" si="84"/>
        <v>0</v>
      </c>
      <c r="E248" s="45"/>
      <c r="F248" s="46">
        <f t="shared" si="85"/>
        <v>0</v>
      </c>
      <c r="H248" s="60"/>
      <c r="I248" s="60"/>
      <c r="J248" s="44">
        <f t="shared" si="86"/>
        <v>0</v>
      </c>
      <c r="K248" s="45"/>
      <c r="L248" s="46">
        <f t="shared" si="87"/>
        <v>0</v>
      </c>
      <c r="N248" s="60"/>
      <c r="O248" s="60"/>
      <c r="P248" s="44">
        <f t="shared" si="88"/>
        <v>0</v>
      </c>
      <c r="Q248" s="45"/>
      <c r="R248" s="46">
        <f t="shared" si="89"/>
        <v>0</v>
      </c>
    </row>
    <row r="249" spans="2:23" x14ac:dyDescent="0.3">
      <c r="B249" s="60"/>
      <c r="C249" s="60"/>
      <c r="D249" s="44">
        <f t="shared" si="84"/>
        <v>0</v>
      </c>
      <c r="E249" s="45"/>
      <c r="F249" s="46">
        <f t="shared" si="85"/>
        <v>0</v>
      </c>
      <c r="H249" s="60"/>
      <c r="I249" s="60"/>
      <c r="J249" s="44">
        <f t="shared" si="86"/>
        <v>0</v>
      </c>
      <c r="K249" s="45"/>
      <c r="L249" s="46">
        <f t="shared" si="87"/>
        <v>0</v>
      </c>
      <c r="N249" s="60"/>
      <c r="O249" s="60"/>
      <c r="P249" s="44">
        <f t="shared" si="88"/>
        <v>0</v>
      </c>
      <c r="Q249" s="45"/>
      <c r="R249" s="46">
        <f t="shared" si="89"/>
        <v>0</v>
      </c>
    </row>
    <row r="250" spans="2:23" x14ac:dyDescent="0.3">
      <c r="B250" s="60"/>
      <c r="C250" s="60"/>
      <c r="D250" s="44">
        <f t="shared" si="84"/>
        <v>0</v>
      </c>
      <c r="E250" s="45"/>
      <c r="F250" s="46">
        <f t="shared" si="85"/>
        <v>0</v>
      </c>
      <c r="H250" s="60"/>
      <c r="I250" s="60"/>
      <c r="J250" s="44">
        <f t="shared" si="86"/>
        <v>0</v>
      </c>
      <c r="K250" s="45"/>
      <c r="L250" s="46">
        <f t="shared" si="87"/>
        <v>0</v>
      </c>
      <c r="N250" s="60"/>
      <c r="O250" s="60"/>
      <c r="P250" s="44">
        <f t="shared" si="88"/>
        <v>0</v>
      </c>
      <c r="Q250" s="45"/>
      <c r="R250" s="46">
        <f t="shared" si="89"/>
        <v>0</v>
      </c>
    </row>
    <row r="251" spans="2:23" x14ac:dyDescent="0.3">
      <c r="B251" s="61"/>
      <c r="C251" s="61"/>
      <c r="D251" s="44">
        <f t="shared" si="84"/>
        <v>0</v>
      </c>
      <c r="E251" s="45"/>
      <c r="F251" s="46">
        <f t="shared" si="85"/>
        <v>0</v>
      </c>
      <c r="H251" s="61"/>
      <c r="I251" s="61"/>
      <c r="J251" s="44">
        <f t="shared" si="86"/>
        <v>0</v>
      </c>
      <c r="K251" s="45"/>
      <c r="L251" s="46">
        <f t="shared" si="87"/>
        <v>0</v>
      </c>
      <c r="N251" s="61"/>
      <c r="O251" s="61"/>
      <c r="P251" s="44">
        <f t="shared" si="88"/>
        <v>0</v>
      </c>
      <c r="Q251" s="45"/>
      <c r="R251" s="46">
        <f t="shared" si="89"/>
        <v>0</v>
      </c>
    </row>
    <row r="252" spans="2:23" x14ac:dyDescent="0.3">
      <c r="B252" s="61"/>
      <c r="C252" s="61"/>
      <c r="D252" s="44">
        <f t="shared" si="84"/>
        <v>0</v>
      </c>
      <c r="E252" s="45"/>
      <c r="F252" s="46">
        <f t="shared" si="85"/>
        <v>0</v>
      </c>
      <c r="H252" s="61"/>
      <c r="I252" s="61"/>
      <c r="J252" s="44">
        <f t="shared" si="86"/>
        <v>0</v>
      </c>
      <c r="K252" s="45"/>
      <c r="L252" s="46">
        <f t="shared" si="87"/>
        <v>0</v>
      </c>
      <c r="N252" s="61"/>
      <c r="O252" s="61"/>
      <c r="P252" s="44">
        <f t="shared" si="88"/>
        <v>0</v>
      </c>
      <c r="Q252" s="45"/>
      <c r="R252" s="46">
        <f t="shared" si="89"/>
        <v>0</v>
      </c>
    </row>
    <row r="253" spans="2:23" x14ac:dyDescent="0.3">
      <c r="B253" s="61"/>
      <c r="C253" s="61"/>
      <c r="D253" s="44">
        <f t="shared" si="84"/>
        <v>0</v>
      </c>
      <c r="E253" s="45"/>
      <c r="F253" s="46">
        <f t="shared" si="85"/>
        <v>0</v>
      </c>
      <c r="H253" s="61"/>
      <c r="I253" s="61"/>
      <c r="J253" s="44">
        <f t="shared" si="86"/>
        <v>0</v>
      </c>
      <c r="K253" s="45"/>
      <c r="L253" s="46">
        <f t="shared" si="87"/>
        <v>0</v>
      </c>
      <c r="N253" s="61"/>
      <c r="O253" s="61"/>
      <c r="P253" s="44">
        <f t="shared" si="88"/>
        <v>0</v>
      </c>
      <c r="Q253" s="45"/>
      <c r="R253" s="46">
        <f t="shared" si="89"/>
        <v>0</v>
      </c>
    </row>
    <row r="254" spans="2:23" ht="4.5" customHeight="1" x14ac:dyDescent="0.3"/>
    <row r="255" spans="2:23" x14ac:dyDescent="0.3">
      <c r="C255" s="48" t="s">
        <v>46</v>
      </c>
      <c r="D255" s="62">
        <f>SUM(D245:D253)</f>
        <v>0</v>
      </c>
      <c r="F255" s="49">
        <f>SUM(F245:F253)</f>
        <v>0</v>
      </c>
      <c r="I255" s="48" t="s">
        <v>46</v>
      </c>
      <c r="J255" s="62">
        <f>SUM(J245:J253)</f>
        <v>0</v>
      </c>
      <c r="L255" s="49">
        <f>SUM(L245:L253)</f>
        <v>0</v>
      </c>
      <c r="O255" s="48" t="s">
        <v>46</v>
      </c>
      <c r="P255" s="62">
        <f>SUM(P245:P253)</f>
        <v>0</v>
      </c>
      <c r="R255" s="49">
        <f>SUM(R245:R253)</f>
        <v>0</v>
      </c>
    </row>
    <row r="256" spans="2:23" ht="3.75" customHeight="1" x14ac:dyDescent="0.3"/>
    <row r="257" spans="2:23" x14ac:dyDescent="0.3">
      <c r="E257" s="50" t="s">
        <v>45</v>
      </c>
      <c r="F257" s="51">
        <f>IF(D255=0,0,F255/D255)</f>
        <v>0</v>
      </c>
      <c r="K257" s="50" t="s">
        <v>45</v>
      </c>
      <c r="L257" s="51">
        <f>IF(J255=0,0,L255/J255)</f>
        <v>0</v>
      </c>
      <c r="Q257" s="50" t="s">
        <v>45</v>
      </c>
      <c r="R257" s="51">
        <f>IF(P255=0,0,R255/P255)</f>
        <v>0</v>
      </c>
    </row>
    <row r="259" spans="2:23" x14ac:dyDescent="0.3">
      <c r="B259" s="59" t="s">
        <v>191</v>
      </c>
      <c r="C259" s="523"/>
      <c r="D259" s="523"/>
      <c r="E259" s="523"/>
      <c r="F259" s="523"/>
      <c r="H259" s="59" t="s">
        <v>191</v>
      </c>
      <c r="I259" s="523"/>
      <c r="J259" s="523"/>
      <c r="K259" s="523"/>
      <c r="L259" s="523"/>
      <c r="N259" s="59" t="s">
        <v>191</v>
      </c>
      <c r="O259" s="523"/>
      <c r="P259" s="523"/>
      <c r="Q259" s="523"/>
      <c r="R259" s="523"/>
      <c r="U259" s="46" t="str">
        <f>IF(C259&gt;"",C259,"")</f>
        <v/>
      </c>
      <c r="V259" s="46" t="str">
        <f>IF(I259&gt;"",I259,"")</f>
        <v/>
      </c>
      <c r="W259" s="46" t="str">
        <f>IF(O259&gt;"",O259,"")</f>
        <v/>
      </c>
    </row>
    <row r="260" spans="2:23" ht="4.5" customHeight="1" x14ac:dyDescent="0.3"/>
    <row r="261" spans="2:23" x14ac:dyDescent="0.3">
      <c r="B261" s="40" t="s">
        <v>184</v>
      </c>
      <c r="C261" s="40" t="s">
        <v>185</v>
      </c>
      <c r="D261" s="41"/>
      <c r="E261" s="42" t="s">
        <v>186</v>
      </c>
      <c r="F261" s="41"/>
      <c r="H261" s="40" t="s">
        <v>184</v>
      </c>
      <c r="I261" s="40" t="s">
        <v>185</v>
      </c>
      <c r="J261" s="41"/>
      <c r="K261" s="42" t="s">
        <v>186</v>
      </c>
      <c r="L261" s="41"/>
      <c r="N261" s="40" t="s">
        <v>184</v>
      </c>
      <c r="O261" s="40" t="s">
        <v>185</v>
      </c>
      <c r="P261" s="41"/>
      <c r="Q261" s="42" t="s">
        <v>186</v>
      </c>
      <c r="R261" s="41"/>
    </row>
    <row r="262" spans="2:23" x14ac:dyDescent="0.3">
      <c r="B262" s="60"/>
      <c r="C262" s="60"/>
      <c r="D262" s="44">
        <f t="shared" ref="D262:D270" si="90">IF(C262="",0,C262-B262+1)</f>
        <v>0</v>
      </c>
      <c r="E262" s="45"/>
      <c r="F262" s="46">
        <f t="shared" ref="F262:F270" si="91">+D262*E262</f>
        <v>0</v>
      </c>
      <c r="H262" s="60"/>
      <c r="I262" s="60"/>
      <c r="J262" s="44">
        <f t="shared" ref="J262:J270" si="92">IF(I262="",0,I262-H262+1)</f>
        <v>0</v>
      </c>
      <c r="K262" s="45"/>
      <c r="L262" s="46">
        <f t="shared" ref="L262:L270" si="93">+J262*K262</f>
        <v>0</v>
      </c>
      <c r="N262" s="60"/>
      <c r="O262" s="60"/>
      <c r="P262" s="44">
        <f t="shared" ref="P262:P270" si="94">IF(O262="",0,O262-N262+1)</f>
        <v>0</v>
      </c>
      <c r="Q262" s="45"/>
      <c r="R262" s="46">
        <f t="shared" ref="R262:R270" si="95">+P262*Q262</f>
        <v>0</v>
      </c>
    </row>
    <row r="263" spans="2:23" x14ac:dyDescent="0.3">
      <c r="B263" s="60"/>
      <c r="C263" s="60"/>
      <c r="D263" s="44">
        <f t="shared" si="90"/>
        <v>0</v>
      </c>
      <c r="E263" s="45"/>
      <c r="F263" s="46">
        <f t="shared" si="91"/>
        <v>0</v>
      </c>
      <c r="H263" s="60"/>
      <c r="I263" s="60"/>
      <c r="J263" s="44">
        <f t="shared" si="92"/>
        <v>0</v>
      </c>
      <c r="K263" s="45"/>
      <c r="L263" s="46">
        <f t="shared" si="93"/>
        <v>0</v>
      </c>
      <c r="N263" s="60"/>
      <c r="O263" s="60"/>
      <c r="P263" s="44">
        <f t="shared" si="94"/>
        <v>0</v>
      </c>
      <c r="Q263" s="45"/>
      <c r="R263" s="46">
        <f t="shared" si="95"/>
        <v>0</v>
      </c>
    </row>
    <row r="264" spans="2:23" x14ac:dyDescent="0.3">
      <c r="B264" s="60"/>
      <c r="C264" s="60"/>
      <c r="D264" s="44">
        <f t="shared" si="90"/>
        <v>0</v>
      </c>
      <c r="E264" s="45"/>
      <c r="F264" s="46">
        <f t="shared" si="91"/>
        <v>0</v>
      </c>
      <c r="H264" s="60"/>
      <c r="I264" s="60"/>
      <c r="J264" s="44">
        <f t="shared" si="92"/>
        <v>0</v>
      </c>
      <c r="K264" s="45"/>
      <c r="L264" s="46">
        <f t="shared" si="93"/>
        <v>0</v>
      </c>
      <c r="N264" s="60"/>
      <c r="O264" s="60"/>
      <c r="P264" s="44">
        <f t="shared" si="94"/>
        <v>0</v>
      </c>
      <c r="Q264" s="45"/>
      <c r="R264" s="46">
        <f t="shared" si="95"/>
        <v>0</v>
      </c>
    </row>
    <row r="265" spans="2:23" x14ac:dyDescent="0.3">
      <c r="B265" s="60"/>
      <c r="C265" s="60"/>
      <c r="D265" s="44">
        <f t="shared" si="90"/>
        <v>0</v>
      </c>
      <c r="E265" s="45"/>
      <c r="F265" s="46">
        <f t="shared" si="91"/>
        <v>0</v>
      </c>
      <c r="H265" s="60"/>
      <c r="I265" s="60"/>
      <c r="J265" s="44">
        <f t="shared" si="92"/>
        <v>0</v>
      </c>
      <c r="K265" s="45"/>
      <c r="L265" s="46">
        <f t="shared" si="93"/>
        <v>0</v>
      </c>
      <c r="N265" s="60"/>
      <c r="O265" s="60"/>
      <c r="P265" s="44">
        <f t="shared" si="94"/>
        <v>0</v>
      </c>
      <c r="Q265" s="45"/>
      <c r="R265" s="46">
        <f t="shared" si="95"/>
        <v>0</v>
      </c>
    </row>
    <row r="266" spans="2:23" x14ac:dyDescent="0.3">
      <c r="B266" s="60"/>
      <c r="C266" s="60"/>
      <c r="D266" s="44">
        <f t="shared" si="90"/>
        <v>0</v>
      </c>
      <c r="E266" s="45"/>
      <c r="F266" s="46">
        <f t="shared" si="91"/>
        <v>0</v>
      </c>
      <c r="H266" s="60"/>
      <c r="I266" s="60"/>
      <c r="J266" s="44">
        <f t="shared" si="92"/>
        <v>0</v>
      </c>
      <c r="K266" s="45"/>
      <c r="L266" s="46">
        <f t="shared" si="93"/>
        <v>0</v>
      </c>
      <c r="N266" s="60"/>
      <c r="O266" s="60"/>
      <c r="P266" s="44">
        <f t="shared" si="94"/>
        <v>0</v>
      </c>
      <c r="Q266" s="45"/>
      <c r="R266" s="46">
        <f t="shared" si="95"/>
        <v>0</v>
      </c>
    </row>
    <row r="267" spans="2:23" x14ac:dyDescent="0.3">
      <c r="B267" s="60"/>
      <c r="C267" s="60"/>
      <c r="D267" s="44">
        <f t="shared" si="90"/>
        <v>0</v>
      </c>
      <c r="E267" s="45"/>
      <c r="F267" s="46">
        <f t="shared" si="91"/>
        <v>0</v>
      </c>
      <c r="H267" s="60"/>
      <c r="I267" s="60"/>
      <c r="J267" s="44">
        <f t="shared" si="92"/>
        <v>0</v>
      </c>
      <c r="K267" s="45"/>
      <c r="L267" s="46">
        <f t="shared" si="93"/>
        <v>0</v>
      </c>
      <c r="N267" s="60"/>
      <c r="O267" s="60"/>
      <c r="P267" s="44">
        <f t="shared" si="94"/>
        <v>0</v>
      </c>
      <c r="Q267" s="45"/>
      <c r="R267" s="46">
        <f t="shared" si="95"/>
        <v>0</v>
      </c>
    </row>
    <row r="268" spans="2:23" x14ac:dyDescent="0.3">
      <c r="B268" s="61"/>
      <c r="C268" s="61"/>
      <c r="D268" s="44">
        <f t="shared" si="90"/>
        <v>0</v>
      </c>
      <c r="E268" s="45"/>
      <c r="F268" s="46">
        <f t="shared" si="91"/>
        <v>0</v>
      </c>
      <c r="H268" s="61"/>
      <c r="I268" s="61"/>
      <c r="J268" s="44">
        <f t="shared" si="92"/>
        <v>0</v>
      </c>
      <c r="K268" s="45"/>
      <c r="L268" s="46">
        <f t="shared" si="93"/>
        <v>0</v>
      </c>
      <c r="N268" s="61"/>
      <c r="O268" s="61"/>
      <c r="P268" s="44">
        <f t="shared" si="94"/>
        <v>0</v>
      </c>
      <c r="Q268" s="45"/>
      <c r="R268" s="46">
        <f t="shared" si="95"/>
        <v>0</v>
      </c>
    </row>
    <row r="269" spans="2:23" x14ac:dyDescent="0.3">
      <c r="B269" s="61"/>
      <c r="C269" s="61"/>
      <c r="D269" s="44">
        <f t="shared" si="90"/>
        <v>0</v>
      </c>
      <c r="E269" s="45"/>
      <c r="F269" s="46">
        <f t="shared" si="91"/>
        <v>0</v>
      </c>
      <c r="H269" s="61"/>
      <c r="I269" s="61"/>
      <c r="J269" s="44">
        <f t="shared" si="92"/>
        <v>0</v>
      </c>
      <c r="K269" s="45"/>
      <c r="L269" s="46">
        <f t="shared" si="93"/>
        <v>0</v>
      </c>
      <c r="N269" s="61"/>
      <c r="O269" s="61"/>
      <c r="P269" s="44">
        <f t="shared" si="94"/>
        <v>0</v>
      </c>
      <c r="Q269" s="45"/>
      <c r="R269" s="46">
        <f t="shared" si="95"/>
        <v>0</v>
      </c>
    </row>
    <row r="270" spans="2:23" x14ac:dyDescent="0.3">
      <c r="B270" s="61"/>
      <c r="C270" s="61"/>
      <c r="D270" s="44">
        <f t="shared" si="90"/>
        <v>0</v>
      </c>
      <c r="E270" s="45"/>
      <c r="F270" s="46">
        <f t="shared" si="91"/>
        <v>0</v>
      </c>
      <c r="H270" s="61"/>
      <c r="I270" s="61"/>
      <c r="J270" s="44">
        <f t="shared" si="92"/>
        <v>0</v>
      </c>
      <c r="K270" s="45"/>
      <c r="L270" s="46">
        <f t="shared" si="93"/>
        <v>0</v>
      </c>
      <c r="N270" s="61"/>
      <c r="O270" s="61"/>
      <c r="P270" s="44">
        <f t="shared" si="94"/>
        <v>0</v>
      </c>
      <c r="Q270" s="45"/>
      <c r="R270" s="46">
        <f t="shared" si="95"/>
        <v>0</v>
      </c>
    </row>
    <row r="271" spans="2:23" ht="4.5" customHeight="1" x14ac:dyDescent="0.3"/>
    <row r="272" spans="2:23" x14ac:dyDescent="0.3">
      <c r="C272" s="48" t="s">
        <v>46</v>
      </c>
      <c r="D272" s="62">
        <f>SUM(D262:D270)</f>
        <v>0</v>
      </c>
      <c r="F272" s="49">
        <f>SUM(F262:F270)</f>
        <v>0</v>
      </c>
      <c r="I272" s="48" t="s">
        <v>46</v>
      </c>
      <c r="J272" s="62">
        <f>SUM(J262:J270)</f>
        <v>0</v>
      </c>
      <c r="L272" s="49">
        <f>SUM(L262:L270)</f>
        <v>0</v>
      </c>
      <c r="O272" s="48" t="s">
        <v>46</v>
      </c>
      <c r="P272" s="62">
        <f>SUM(P262:P270)</f>
        <v>0</v>
      </c>
      <c r="R272" s="49">
        <f>SUM(R262:R270)</f>
        <v>0</v>
      </c>
    </row>
    <row r="273" spans="2:23" ht="3.75" customHeight="1" x14ac:dyDescent="0.3"/>
    <row r="274" spans="2:23" x14ac:dyDescent="0.3">
      <c r="E274" s="50" t="s">
        <v>45</v>
      </c>
      <c r="F274" s="51">
        <f>IF(D272=0,0,F272/D272)</f>
        <v>0</v>
      </c>
      <c r="K274" s="50" t="s">
        <v>45</v>
      </c>
      <c r="L274" s="51">
        <f>IF(J272=0,0,L272/J272)</f>
        <v>0</v>
      </c>
      <c r="Q274" s="50" t="s">
        <v>45</v>
      </c>
      <c r="R274" s="51">
        <f>IF(P272=0,0,R272/P272)</f>
        <v>0</v>
      </c>
    </row>
    <row r="276" spans="2:23" x14ac:dyDescent="0.3">
      <c r="B276" s="59" t="s">
        <v>191</v>
      </c>
      <c r="C276" s="523"/>
      <c r="D276" s="523"/>
      <c r="E276" s="523"/>
      <c r="F276" s="523"/>
      <c r="H276" s="59" t="s">
        <v>191</v>
      </c>
      <c r="I276" s="523"/>
      <c r="J276" s="523"/>
      <c r="K276" s="523"/>
      <c r="L276" s="523"/>
      <c r="N276" s="59" t="s">
        <v>191</v>
      </c>
      <c r="O276" s="523"/>
      <c r="P276" s="523"/>
      <c r="Q276" s="523"/>
      <c r="R276" s="523"/>
      <c r="U276" s="46" t="str">
        <f>IF(C276&gt;"",C276,"")</f>
        <v/>
      </c>
      <c r="V276" s="46" t="str">
        <f>IF(I276&gt;"",I276,"")</f>
        <v/>
      </c>
      <c r="W276" s="46" t="str">
        <f>IF(O276&gt;"",O276,"")</f>
        <v/>
      </c>
    </row>
    <row r="277" spans="2:23" ht="4.5" customHeight="1" x14ac:dyDescent="0.3"/>
    <row r="278" spans="2:23" x14ac:dyDescent="0.3">
      <c r="B278" s="40" t="s">
        <v>184</v>
      </c>
      <c r="C278" s="40" t="s">
        <v>185</v>
      </c>
      <c r="D278" s="41"/>
      <c r="E278" s="42" t="s">
        <v>186</v>
      </c>
      <c r="F278" s="41"/>
      <c r="H278" s="40" t="s">
        <v>184</v>
      </c>
      <c r="I278" s="40" t="s">
        <v>185</v>
      </c>
      <c r="J278" s="41"/>
      <c r="K278" s="42" t="s">
        <v>186</v>
      </c>
      <c r="L278" s="41"/>
      <c r="N278" s="40" t="s">
        <v>184</v>
      </c>
      <c r="O278" s="40" t="s">
        <v>185</v>
      </c>
      <c r="P278" s="41"/>
      <c r="Q278" s="42" t="s">
        <v>186</v>
      </c>
      <c r="R278" s="41"/>
    </row>
    <row r="279" spans="2:23" x14ac:dyDescent="0.3">
      <c r="B279" s="60"/>
      <c r="C279" s="60"/>
      <c r="D279" s="44">
        <f t="shared" ref="D279:D287" si="96">IF(C279="",0,C279-B279+1)</f>
        <v>0</v>
      </c>
      <c r="E279" s="45"/>
      <c r="F279" s="46">
        <f t="shared" ref="F279:F287" si="97">+D279*E279</f>
        <v>0</v>
      </c>
      <c r="H279" s="60"/>
      <c r="I279" s="60"/>
      <c r="J279" s="44">
        <f t="shared" ref="J279:J287" si="98">IF(I279="",0,I279-H279+1)</f>
        <v>0</v>
      </c>
      <c r="K279" s="45"/>
      <c r="L279" s="46">
        <f t="shared" ref="L279:L287" si="99">+J279*K279</f>
        <v>0</v>
      </c>
      <c r="N279" s="60"/>
      <c r="O279" s="60"/>
      <c r="P279" s="44">
        <f t="shared" ref="P279:P287" si="100">IF(O279="",0,O279-N279+1)</f>
        <v>0</v>
      </c>
      <c r="Q279" s="45"/>
      <c r="R279" s="46">
        <f t="shared" ref="R279:R287" si="101">+P279*Q279</f>
        <v>0</v>
      </c>
    </row>
    <row r="280" spans="2:23" x14ac:dyDescent="0.3">
      <c r="B280" s="60"/>
      <c r="C280" s="60"/>
      <c r="D280" s="44">
        <f t="shared" si="96"/>
        <v>0</v>
      </c>
      <c r="E280" s="45"/>
      <c r="F280" s="46">
        <f t="shared" si="97"/>
        <v>0</v>
      </c>
      <c r="H280" s="60"/>
      <c r="I280" s="60"/>
      <c r="J280" s="44">
        <f t="shared" si="98"/>
        <v>0</v>
      </c>
      <c r="K280" s="45"/>
      <c r="L280" s="46">
        <f t="shared" si="99"/>
        <v>0</v>
      </c>
      <c r="N280" s="60"/>
      <c r="O280" s="60"/>
      <c r="P280" s="44">
        <f t="shared" si="100"/>
        <v>0</v>
      </c>
      <c r="Q280" s="45"/>
      <c r="R280" s="46">
        <f t="shared" si="101"/>
        <v>0</v>
      </c>
    </row>
    <row r="281" spans="2:23" x14ac:dyDescent="0.3">
      <c r="B281" s="60"/>
      <c r="C281" s="60"/>
      <c r="D281" s="44">
        <f t="shared" si="96"/>
        <v>0</v>
      </c>
      <c r="E281" s="45"/>
      <c r="F281" s="46">
        <f t="shared" si="97"/>
        <v>0</v>
      </c>
      <c r="H281" s="60"/>
      <c r="I281" s="60"/>
      <c r="J281" s="44">
        <f t="shared" si="98"/>
        <v>0</v>
      </c>
      <c r="K281" s="45"/>
      <c r="L281" s="46">
        <f t="shared" si="99"/>
        <v>0</v>
      </c>
      <c r="N281" s="60"/>
      <c r="O281" s="60"/>
      <c r="P281" s="44">
        <f t="shared" si="100"/>
        <v>0</v>
      </c>
      <c r="Q281" s="45"/>
      <c r="R281" s="46">
        <f t="shared" si="101"/>
        <v>0</v>
      </c>
    </row>
    <row r="282" spans="2:23" x14ac:dyDescent="0.3">
      <c r="B282" s="60"/>
      <c r="C282" s="60"/>
      <c r="D282" s="44">
        <f t="shared" si="96"/>
        <v>0</v>
      </c>
      <c r="E282" s="45"/>
      <c r="F282" s="46">
        <f t="shared" si="97"/>
        <v>0</v>
      </c>
      <c r="H282" s="60"/>
      <c r="I282" s="60"/>
      <c r="J282" s="44">
        <f t="shared" si="98"/>
        <v>0</v>
      </c>
      <c r="K282" s="45"/>
      <c r="L282" s="46">
        <f t="shared" si="99"/>
        <v>0</v>
      </c>
      <c r="N282" s="60"/>
      <c r="O282" s="60"/>
      <c r="P282" s="44">
        <f t="shared" si="100"/>
        <v>0</v>
      </c>
      <c r="Q282" s="45"/>
      <c r="R282" s="46">
        <f t="shared" si="101"/>
        <v>0</v>
      </c>
    </row>
    <row r="283" spans="2:23" x14ac:dyDescent="0.3">
      <c r="B283" s="60"/>
      <c r="C283" s="60"/>
      <c r="D283" s="44">
        <f t="shared" si="96"/>
        <v>0</v>
      </c>
      <c r="E283" s="45"/>
      <c r="F283" s="46">
        <f t="shared" si="97"/>
        <v>0</v>
      </c>
      <c r="H283" s="60"/>
      <c r="I283" s="60"/>
      <c r="J283" s="44">
        <f t="shared" si="98"/>
        <v>0</v>
      </c>
      <c r="K283" s="45"/>
      <c r="L283" s="46">
        <f t="shared" si="99"/>
        <v>0</v>
      </c>
      <c r="N283" s="60"/>
      <c r="O283" s="60"/>
      <c r="P283" s="44">
        <f t="shared" si="100"/>
        <v>0</v>
      </c>
      <c r="Q283" s="45"/>
      <c r="R283" s="46">
        <f t="shared" si="101"/>
        <v>0</v>
      </c>
    </row>
    <row r="284" spans="2:23" x14ac:dyDescent="0.3">
      <c r="B284" s="60"/>
      <c r="C284" s="60"/>
      <c r="D284" s="44">
        <f t="shared" si="96"/>
        <v>0</v>
      </c>
      <c r="E284" s="45"/>
      <c r="F284" s="46">
        <f t="shared" si="97"/>
        <v>0</v>
      </c>
      <c r="H284" s="60"/>
      <c r="I284" s="60"/>
      <c r="J284" s="44">
        <f t="shared" si="98"/>
        <v>0</v>
      </c>
      <c r="K284" s="45"/>
      <c r="L284" s="46">
        <f t="shared" si="99"/>
        <v>0</v>
      </c>
      <c r="N284" s="60"/>
      <c r="O284" s="60"/>
      <c r="P284" s="44">
        <f t="shared" si="100"/>
        <v>0</v>
      </c>
      <c r="Q284" s="45"/>
      <c r="R284" s="46">
        <f t="shared" si="101"/>
        <v>0</v>
      </c>
    </row>
    <row r="285" spans="2:23" x14ac:dyDescent="0.3">
      <c r="B285" s="61"/>
      <c r="C285" s="61"/>
      <c r="D285" s="44">
        <f t="shared" si="96"/>
        <v>0</v>
      </c>
      <c r="E285" s="45"/>
      <c r="F285" s="46">
        <f t="shared" si="97"/>
        <v>0</v>
      </c>
      <c r="H285" s="61"/>
      <c r="I285" s="61"/>
      <c r="J285" s="44">
        <f t="shared" si="98"/>
        <v>0</v>
      </c>
      <c r="K285" s="45"/>
      <c r="L285" s="46">
        <f t="shared" si="99"/>
        <v>0</v>
      </c>
      <c r="N285" s="61"/>
      <c r="O285" s="61"/>
      <c r="P285" s="44">
        <f t="shared" si="100"/>
        <v>0</v>
      </c>
      <c r="Q285" s="45"/>
      <c r="R285" s="46">
        <f t="shared" si="101"/>
        <v>0</v>
      </c>
    </row>
    <row r="286" spans="2:23" x14ac:dyDescent="0.3">
      <c r="B286" s="61"/>
      <c r="C286" s="61"/>
      <c r="D286" s="44">
        <f t="shared" si="96"/>
        <v>0</v>
      </c>
      <c r="E286" s="45"/>
      <c r="F286" s="46">
        <f t="shared" si="97"/>
        <v>0</v>
      </c>
      <c r="H286" s="61"/>
      <c r="I286" s="61"/>
      <c r="J286" s="44">
        <f t="shared" si="98"/>
        <v>0</v>
      </c>
      <c r="K286" s="45"/>
      <c r="L286" s="46">
        <f t="shared" si="99"/>
        <v>0</v>
      </c>
      <c r="N286" s="61"/>
      <c r="O286" s="61"/>
      <c r="P286" s="44">
        <f t="shared" si="100"/>
        <v>0</v>
      </c>
      <c r="Q286" s="45"/>
      <c r="R286" s="46">
        <f t="shared" si="101"/>
        <v>0</v>
      </c>
    </row>
    <row r="287" spans="2:23" x14ac:dyDescent="0.3">
      <c r="B287" s="61"/>
      <c r="C287" s="61"/>
      <c r="D287" s="44">
        <f t="shared" si="96"/>
        <v>0</v>
      </c>
      <c r="E287" s="45"/>
      <c r="F287" s="46">
        <f t="shared" si="97"/>
        <v>0</v>
      </c>
      <c r="H287" s="61"/>
      <c r="I287" s="61"/>
      <c r="J287" s="44">
        <f t="shared" si="98"/>
        <v>0</v>
      </c>
      <c r="K287" s="45"/>
      <c r="L287" s="46">
        <f t="shared" si="99"/>
        <v>0</v>
      </c>
      <c r="N287" s="61"/>
      <c r="O287" s="61"/>
      <c r="P287" s="44">
        <f t="shared" si="100"/>
        <v>0</v>
      </c>
      <c r="Q287" s="45"/>
      <c r="R287" s="46">
        <f t="shared" si="101"/>
        <v>0</v>
      </c>
    </row>
    <row r="288" spans="2:23" ht="4.5" customHeight="1" x14ac:dyDescent="0.3"/>
    <row r="289" spans="2:23" x14ac:dyDescent="0.3">
      <c r="C289" s="48" t="s">
        <v>46</v>
      </c>
      <c r="D289" s="62">
        <f>SUM(D279:D287)</f>
        <v>0</v>
      </c>
      <c r="F289" s="49">
        <f>SUM(F279:F287)</f>
        <v>0</v>
      </c>
      <c r="I289" s="48" t="s">
        <v>46</v>
      </c>
      <c r="J289" s="62">
        <f>SUM(J279:J287)</f>
        <v>0</v>
      </c>
      <c r="L289" s="49">
        <f>SUM(L279:L287)</f>
        <v>0</v>
      </c>
      <c r="O289" s="48" t="s">
        <v>46</v>
      </c>
      <c r="P289" s="62">
        <f>SUM(P279:P287)</f>
        <v>0</v>
      </c>
      <c r="R289" s="49">
        <f>SUM(R279:R287)</f>
        <v>0</v>
      </c>
    </row>
    <row r="290" spans="2:23" ht="3.75" customHeight="1" x14ac:dyDescent="0.3"/>
    <row r="291" spans="2:23" x14ac:dyDescent="0.3">
      <c r="E291" s="50" t="s">
        <v>45</v>
      </c>
      <c r="F291" s="51">
        <f>IF(D289=0,0,F289/D289)</f>
        <v>0</v>
      </c>
      <c r="K291" s="50" t="s">
        <v>45</v>
      </c>
      <c r="L291" s="51">
        <f>IF(J289=0,0,L289/J289)</f>
        <v>0</v>
      </c>
      <c r="Q291" s="50" t="s">
        <v>45</v>
      </c>
      <c r="R291" s="51">
        <f>IF(P289=0,0,R289/P289)</f>
        <v>0</v>
      </c>
    </row>
    <row r="293" spans="2:23" x14ac:dyDescent="0.3">
      <c r="B293" s="59" t="s">
        <v>191</v>
      </c>
      <c r="C293" s="523"/>
      <c r="D293" s="523"/>
      <c r="E293" s="523"/>
      <c r="F293" s="523"/>
      <c r="H293" s="59" t="s">
        <v>191</v>
      </c>
      <c r="I293" s="523"/>
      <c r="J293" s="523"/>
      <c r="K293" s="523"/>
      <c r="L293" s="523"/>
      <c r="N293" s="59" t="s">
        <v>191</v>
      </c>
      <c r="O293" s="523"/>
      <c r="P293" s="523"/>
      <c r="Q293" s="523"/>
      <c r="R293" s="523"/>
      <c r="U293" s="46" t="str">
        <f>IF(C293&gt;"",C293,"")</f>
        <v/>
      </c>
      <c r="V293" s="46" t="str">
        <f>IF(I293&gt;"",I293,"")</f>
        <v/>
      </c>
      <c r="W293" s="46" t="str">
        <f>IF(O293&gt;"",O293,"")</f>
        <v/>
      </c>
    </row>
    <row r="294" spans="2:23" ht="4.5" customHeight="1" x14ac:dyDescent="0.3"/>
    <row r="295" spans="2:23" x14ac:dyDescent="0.3">
      <c r="B295" s="40" t="s">
        <v>184</v>
      </c>
      <c r="C295" s="40" t="s">
        <v>185</v>
      </c>
      <c r="D295" s="41"/>
      <c r="E295" s="42" t="s">
        <v>186</v>
      </c>
      <c r="F295" s="41"/>
      <c r="H295" s="40" t="s">
        <v>184</v>
      </c>
      <c r="I295" s="40" t="s">
        <v>185</v>
      </c>
      <c r="J295" s="41"/>
      <c r="K295" s="42" t="s">
        <v>186</v>
      </c>
      <c r="L295" s="41"/>
      <c r="N295" s="40" t="s">
        <v>184</v>
      </c>
      <c r="O295" s="40" t="s">
        <v>185</v>
      </c>
      <c r="P295" s="41"/>
      <c r="Q295" s="42" t="s">
        <v>186</v>
      </c>
      <c r="R295" s="41"/>
    </row>
    <row r="296" spans="2:23" x14ac:dyDescent="0.3">
      <c r="B296" s="60"/>
      <c r="C296" s="60"/>
      <c r="D296" s="44">
        <f t="shared" ref="D296:D304" si="102">IF(C296="",0,C296-B296+1)</f>
        <v>0</v>
      </c>
      <c r="E296" s="45"/>
      <c r="F296" s="46">
        <f t="shared" ref="F296:F304" si="103">+D296*E296</f>
        <v>0</v>
      </c>
      <c r="H296" s="60"/>
      <c r="I296" s="60"/>
      <c r="J296" s="44">
        <f t="shared" ref="J296:J304" si="104">IF(I296="",0,I296-H296+1)</f>
        <v>0</v>
      </c>
      <c r="K296" s="45"/>
      <c r="L296" s="46">
        <f t="shared" ref="L296:L304" si="105">+J296*K296</f>
        <v>0</v>
      </c>
      <c r="N296" s="60"/>
      <c r="O296" s="60"/>
      <c r="P296" s="44">
        <f t="shared" ref="P296:P304" si="106">IF(O296="",0,O296-N296+1)</f>
        <v>0</v>
      </c>
      <c r="Q296" s="45"/>
      <c r="R296" s="46">
        <f t="shared" ref="R296:R304" si="107">+P296*Q296</f>
        <v>0</v>
      </c>
    </row>
    <row r="297" spans="2:23" x14ac:dyDescent="0.3">
      <c r="B297" s="60"/>
      <c r="C297" s="60"/>
      <c r="D297" s="44">
        <f t="shared" si="102"/>
        <v>0</v>
      </c>
      <c r="E297" s="45"/>
      <c r="F297" s="46">
        <f t="shared" si="103"/>
        <v>0</v>
      </c>
      <c r="H297" s="60"/>
      <c r="I297" s="60"/>
      <c r="J297" s="44">
        <f t="shared" si="104"/>
        <v>0</v>
      </c>
      <c r="K297" s="45"/>
      <c r="L297" s="46">
        <f t="shared" si="105"/>
        <v>0</v>
      </c>
      <c r="N297" s="60"/>
      <c r="O297" s="60"/>
      <c r="P297" s="44">
        <f t="shared" si="106"/>
        <v>0</v>
      </c>
      <c r="Q297" s="45"/>
      <c r="R297" s="46">
        <f t="shared" si="107"/>
        <v>0</v>
      </c>
    </row>
    <row r="298" spans="2:23" x14ac:dyDescent="0.3">
      <c r="B298" s="60"/>
      <c r="C298" s="60"/>
      <c r="D298" s="44">
        <f t="shared" si="102"/>
        <v>0</v>
      </c>
      <c r="E298" s="45"/>
      <c r="F298" s="46">
        <f t="shared" si="103"/>
        <v>0</v>
      </c>
      <c r="H298" s="60"/>
      <c r="I298" s="60"/>
      <c r="J298" s="44">
        <f t="shared" si="104"/>
        <v>0</v>
      </c>
      <c r="K298" s="45"/>
      <c r="L298" s="46">
        <f t="shared" si="105"/>
        <v>0</v>
      </c>
      <c r="N298" s="60"/>
      <c r="O298" s="60"/>
      <c r="P298" s="44">
        <f t="shared" si="106"/>
        <v>0</v>
      </c>
      <c r="Q298" s="45"/>
      <c r="R298" s="46">
        <f t="shared" si="107"/>
        <v>0</v>
      </c>
    </row>
    <row r="299" spans="2:23" x14ac:dyDescent="0.3">
      <c r="B299" s="60"/>
      <c r="C299" s="60"/>
      <c r="D299" s="44">
        <f t="shared" si="102"/>
        <v>0</v>
      </c>
      <c r="E299" s="45"/>
      <c r="F299" s="46">
        <f t="shared" si="103"/>
        <v>0</v>
      </c>
      <c r="H299" s="60"/>
      <c r="I299" s="60"/>
      <c r="J299" s="44">
        <f t="shared" si="104"/>
        <v>0</v>
      </c>
      <c r="K299" s="45"/>
      <c r="L299" s="46">
        <f t="shared" si="105"/>
        <v>0</v>
      </c>
      <c r="N299" s="60"/>
      <c r="O299" s="60"/>
      <c r="P299" s="44">
        <f t="shared" si="106"/>
        <v>0</v>
      </c>
      <c r="Q299" s="45"/>
      <c r="R299" s="46">
        <f t="shared" si="107"/>
        <v>0</v>
      </c>
    </row>
    <row r="300" spans="2:23" x14ac:dyDescent="0.3">
      <c r="B300" s="60"/>
      <c r="C300" s="60"/>
      <c r="D300" s="44">
        <f t="shared" si="102"/>
        <v>0</v>
      </c>
      <c r="E300" s="45"/>
      <c r="F300" s="46">
        <f t="shared" si="103"/>
        <v>0</v>
      </c>
      <c r="H300" s="60"/>
      <c r="I300" s="60"/>
      <c r="J300" s="44">
        <f t="shared" si="104"/>
        <v>0</v>
      </c>
      <c r="K300" s="45"/>
      <c r="L300" s="46">
        <f t="shared" si="105"/>
        <v>0</v>
      </c>
      <c r="N300" s="60"/>
      <c r="O300" s="60"/>
      <c r="P300" s="44">
        <f t="shared" si="106"/>
        <v>0</v>
      </c>
      <c r="Q300" s="45"/>
      <c r="R300" s="46">
        <f t="shared" si="107"/>
        <v>0</v>
      </c>
    </row>
    <row r="301" spans="2:23" x14ac:dyDescent="0.3">
      <c r="B301" s="60"/>
      <c r="C301" s="60"/>
      <c r="D301" s="44">
        <f t="shared" si="102"/>
        <v>0</v>
      </c>
      <c r="E301" s="45"/>
      <c r="F301" s="46">
        <f t="shared" si="103"/>
        <v>0</v>
      </c>
      <c r="H301" s="60"/>
      <c r="I301" s="60"/>
      <c r="J301" s="44">
        <f t="shared" si="104"/>
        <v>0</v>
      </c>
      <c r="K301" s="45"/>
      <c r="L301" s="46">
        <f t="shared" si="105"/>
        <v>0</v>
      </c>
      <c r="N301" s="60"/>
      <c r="O301" s="60"/>
      <c r="P301" s="44">
        <f t="shared" si="106"/>
        <v>0</v>
      </c>
      <c r="Q301" s="45"/>
      <c r="R301" s="46">
        <f t="shared" si="107"/>
        <v>0</v>
      </c>
    </row>
    <row r="302" spans="2:23" x14ac:dyDescent="0.3">
      <c r="B302" s="61"/>
      <c r="C302" s="61"/>
      <c r="D302" s="44">
        <f t="shared" si="102"/>
        <v>0</v>
      </c>
      <c r="E302" s="45"/>
      <c r="F302" s="46">
        <f t="shared" si="103"/>
        <v>0</v>
      </c>
      <c r="H302" s="61"/>
      <c r="I302" s="61"/>
      <c r="J302" s="44">
        <f t="shared" si="104"/>
        <v>0</v>
      </c>
      <c r="K302" s="45"/>
      <c r="L302" s="46">
        <f t="shared" si="105"/>
        <v>0</v>
      </c>
      <c r="N302" s="61"/>
      <c r="O302" s="61"/>
      <c r="P302" s="44">
        <f t="shared" si="106"/>
        <v>0</v>
      </c>
      <c r="Q302" s="45"/>
      <c r="R302" s="46">
        <f t="shared" si="107"/>
        <v>0</v>
      </c>
    </row>
    <row r="303" spans="2:23" x14ac:dyDescent="0.3">
      <c r="B303" s="61"/>
      <c r="C303" s="61"/>
      <c r="D303" s="44">
        <f t="shared" si="102"/>
        <v>0</v>
      </c>
      <c r="E303" s="45"/>
      <c r="F303" s="46">
        <f t="shared" si="103"/>
        <v>0</v>
      </c>
      <c r="H303" s="61"/>
      <c r="I303" s="61"/>
      <c r="J303" s="44">
        <f t="shared" si="104"/>
        <v>0</v>
      </c>
      <c r="K303" s="45"/>
      <c r="L303" s="46">
        <f t="shared" si="105"/>
        <v>0</v>
      </c>
      <c r="N303" s="61"/>
      <c r="O303" s="61"/>
      <c r="P303" s="44">
        <f t="shared" si="106"/>
        <v>0</v>
      </c>
      <c r="Q303" s="45"/>
      <c r="R303" s="46">
        <f t="shared" si="107"/>
        <v>0</v>
      </c>
    </row>
    <row r="304" spans="2:23" x14ac:dyDescent="0.3">
      <c r="B304" s="61"/>
      <c r="C304" s="61"/>
      <c r="D304" s="44">
        <f t="shared" si="102"/>
        <v>0</v>
      </c>
      <c r="E304" s="45"/>
      <c r="F304" s="46">
        <f t="shared" si="103"/>
        <v>0</v>
      </c>
      <c r="H304" s="61"/>
      <c r="I304" s="61"/>
      <c r="J304" s="44">
        <f t="shared" si="104"/>
        <v>0</v>
      </c>
      <c r="K304" s="45"/>
      <c r="L304" s="46">
        <f t="shared" si="105"/>
        <v>0</v>
      </c>
      <c r="N304" s="61"/>
      <c r="O304" s="61"/>
      <c r="P304" s="44">
        <f t="shared" si="106"/>
        <v>0</v>
      </c>
      <c r="Q304" s="45"/>
      <c r="R304" s="46">
        <f t="shared" si="107"/>
        <v>0</v>
      </c>
    </row>
    <row r="305" spans="3:18" ht="4.5" customHeight="1" x14ac:dyDescent="0.3"/>
    <row r="306" spans="3:18" x14ac:dyDescent="0.3">
      <c r="C306" s="48" t="s">
        <v>46</v>
      </c>
      <c r="D306" s="62">
        <f>SUM(D296:D304)</f>
        <v>0</v>
      </c>
      <c r="F306" s="49">
        <f>SUM(F296:F304)</f>
        <v>0</v>
      </c>
      <c r="I306" s="48" t="s">
        <v>46</v>
      </c>
      <c r="J306" s="62">
        <f>SUM(J296:J304)</f>
        <v>0</v>
      </c>
      <c r="L306" s="49">
        <f>SUM(L296:L304)</f>
        <v>0</v>
      </c>
      <c r="O306" s="48" t="s">
        <v>46</v>
      </c>
      <c r="P306" s="62">
        <f>SUM(P296:P304)</f>
        <v>0</v>
      </c>
      <c r="R306" s="49">
        <f>SUM(R296:R304)</f>
        <v>0</v>
      </c>
    </row>
    <row r="307" spans="3:18" ht="3.75" customHeight="1" x14ac:dyDescent="0.3"/>
    <row r="308" spans="3:18" x14ac:dyDescent="0.3">
      <c r="E308" s="50" t="s">
        <v>45</v>
      </c>
      <c r="F308" s="51">
        <f>IF(D306=0,0,F306/D306)</f>
        <v>0</v>
      </c>
      <c r="K308" s="50" t="s">
        <v>45</v>
      </c>
      <c r="L308" s="51">
        <f>IF(J306=0,0,L306/J306)</f>
        <v>0</v>
      </c>
      <c r="Q308" s="50" t="s">
        <v>45</v>
      </c>
      <c r="R308" s="51">
        <f>IF(P306=0,0,R306/P306)</f>
        <v>0</v>
      </c>
    </row>
  </sheetData>
  <sheetProtection sheet="1" objects="1" scenarios="1"/>
  <mergeCells count="56">
    <mergeCell ref="C276:F276"/>
    <mergeCell ref="I276:L276"/>
    <mergeCell ref="O276:R276"/>
    <mergeCell ref="C293:F293"/>
    <mergeCell ref="I293:L293"/>
    <mergeCell ref="O293:R293"/>
    <mergeCell ref="C242:F242"/>
    <mergeCell ref="I242:L242"/>
    <mergeCell ref="O242:R242"/>
    <mergeCell ref="C259:F259"/>
    <mergeCell ref="I259:L259"/>
    <mergeCell ref="O259:R259"/>
    <mergeCell ref="C208:F208"/>
    <mergeCell ref="I208:L208"/>
    <mergeCell ref="O208:R208"/>
    <mergeCell ref="C225:F225"/>
    <mergeCell ref="I225:L225"/>
    <mergeCell ref="O225:R225"/>
    <mergeCell ref="C174:F174"/>
    <mergeCell ref="I174:L174"/>
    <mergeCell ref="O174:R174"/>
    <mergeCell ref="C191:F191"/>
    <mergeCell ref="I191:L191"/>
    <mergeCell ref="O191:R191"/>
    <mergeCell ref="C140:F140"/>
    <mergeCell ref="I140:L140"/>
    <mergeCell ref="O140:R140"/>
    <mergeCell ref="C157:F157"/>
    <mergeCell ref="I157:L157"/>
    <mergeCell ref="O157:R157"/>
    <mergeCell ref="C106:F106"/>
    <mergeCell ref="I106:L106"/>
    <mergeCell ref="O106:R106"/>
    <mergeCell ref="C123:F123"/>
    <mergeCell ref="I123:L123"/>
    <mergeCell ref="O123:R123"/>
    <mergeCell ref="C72:F72"/>
    <mergeCell ref="I72:L72"/>
    <mergeCell ref="O72:R72"/>
    <mergeCell ref="C89:F89"/>
    <mergeCell ref="I89:L89"/>
    <mergeCell ref="O89:R89"/>
    <mergeCell ref="C38:F38"/>
    <mergeCell ref="I38:L38"/>
    <mergeCell ref="O38:R38"/>
    <mergeCell ref="C55:F55"/>
    <mergeCell ref="I55:L55"/>
    <mergeCell ref="O55:R55"/>
    <mergeCell ref="C21:F21"/>
    <mergeCell ref="I21:L21"/>
    <mergeCell ref="O21:R21"/>
    <mergeCell ref="C2:J2"/>
    <mergeCell ref="Q2:R2"/>
    <mergeCell ref="C4:F4"/>
    <mergeCell ref="I4:L4"/>
    <mergeCell ref="O4:R4"/>
  </mergeCells>
  <conditionalFormatting sqref="C4">
    <cfRule type="cellIs" priority="1" stopIfTrue="1" operator="greaterThan">
      <formula>0</formula>
    </cfRule>
  </conditionalFormatting>
  <conditionalFormatting sqref="C21">
    <cfRule type="cellIs" priority="2" stopIfTrue="1" operator="greaterThan">
      <formula>0</formula>
    </cfRule>
  </conditionalFormatting>
  <conditionalFormatting sqref="C38">
    <cfRule type="cellIs" priority="3" stopIfTrue="1" operator="greaterThan">
      <formula>0</formula>
    </cfRule>
  </conditionalFormatting>
  <conditionalFormatting sqref="C55">
    <cfRule type="cellIs" priority="4" stopIfTrue="1" operator="greaterThan">
      <formula>0</formula>
    </cfRule>
  </conditionalFormatting>
  <conditionalFormatting sqref="C72">
    <cfRule type="cellIs" priority="5" stopIfTrue="1" operator="greaterThan">
      <formula>0</formula>
    </cfRule>
  </conditionalFormatting>
  <conditionalFormatting sqref="C89">
    <cfRule type="cellIs" priority="6" stopIfTrue="1" operator="greaterThan">
      <formula>0</formula>
    </cfRule>
  </conditionalFormatting>
  <conditionalFormatting sqref="C106">
    <cfRule type="cellIs" priority="7" stopIfTrue="1" operator="greaterThan">
      <formula>0</formula>
    </cfRule>
  </conditionalFormatting>
  <conditionalFormatting sqref="C123">
    <cfRule type="cellIs" priority="8" stopIfTrue="1" operator="greaterThan">
      <formula>0</formula>
    </cfRule>
  </conditionalFormatting>
  <conditionalFormatting sqref="C140">
    <cfRule type="cellIs" priority="9" stopIfTrue="1" operator="greaterThan">
      <formula>0</formula>
    </cfRule>
  </conditionalFormatting>
  <conditionalFormatting sqref="C157">
    <cfRule type="cellIs" priority="10" stopIfTrue="1" operator="greaterThan">
      <formula>0</formula>
    </cfRule>
  </conditionalFormatting>
  <conditionalFormatting sqref="C174">
    <cfRule type="cellIs" priority="11" stopIfTrue="1" operator="greaterThan">
      <formula>0</formula>
    </cfRule>
  </conditionalFormatting>
  <conditionalFormatting sqref="C191">
    <cfRule type="cellIs" priority="12" stopIfTrue="1" operator="greaterThan">
      <formula>0</formula>
    </cfRule>
  </conditionalFormatting>
  <conditionalFormatting sqref="C208">
    <cfRule type="cellIs" priority="13" stopIfTrue="1" operator="greaterThan">
      <formula>0</formula>
    </cfRule>
  </conditionalFormatting>
  <conditionalFormatting sqref="C225">
    <cfRule type="cellIs" priority="14" stopIfTrue="1" operator="greaterThan">
      <formula>0</formula>
    </cfRule>
  </conditionalFormatting>
  <conditionalFormatting sqref="C242">
    <cfRule type="cellIs" priority="15" stopIfTrue="1" operator="greaterThan">
      <formula>0</formula>
    </cfRule>
  </conditionalFormatting>
  <conditionalFormatting sqref="C259">
    <cfRule type="cellIs" priority="16" stopIfTrue="1" operator="greaterThan">
      <formula>0</formula>
    </cfRule>
  </conditionalFormatting>
  <conditionalFormatting sqref="C276">
    <cfRule type="cellIs" priority="17" stopIfTrue="1" operator="greaterThan">
      <formula>0</formula>
    </cfRule>
  </conditionalFormatting>
  <conditionalFormatting sqref="C293">
    <cfRule type="cellIs" priority="18" stopIfTrue="1" operator="greaterThan">
      <formula>0</formula>
    </cfRule>
  </conditionalFormatting>
  <conditionalFormatting sqref="D17 J17 P17">
    <cfRule type="cellIs" priority="19" stopIfTrue="1" operator="notEqual">
      <formula>365</formula>
    </cfRule>
  </conditionalFormatting>
  <conditionalFormatting sqref="D34 J34 P34">
    <cfRule type="cellIs" priority="20" stopIfTrue="1" operator="notEqual">
      <formula>365</formula>
    </cfRule>
  </conditionalFormatting>
  <conditionalFormatting sqref="D51 J51 P51">
    <cfRule type="cellIs" priority="21" stopIfTrue="1" operator="notEqual">
      <formula>365</formula>
    </cfRule>
  </conditionalFormatting>
  <conditionalFormatting sqref="D68 J68 P68">
    <cfRule type="cellIs" priority="22" stopIfTrue="1" operator="notEqual">
      <formula>365</formula>
    </cfRule>
  </conditionalFormatting>
  <conditionalFormatting sqref="D85 J85 P85">
    <cfRule type="cellIs" priority="23" stopIfTrue="1" operator="notEqual">
      <formula>365</formula>
    </cfRule>
  </conditionalFormatting>
  <conditionalFormatting sqref="D102 J102 P102">
    <cfRule type="cellIs" priority="24" stopIfTrue="1" operator="notEqual">
      <formula>365</formula>
    </cfRule>
  </conditionalFormatting>
  <conditionalFormatting sqref="D119 J119 P119">
    <cfRule type="cellIs" priority="25" stopIfTrue="1" operator="notEqual">
      <formula>365</formula>
    </cfRule>
  </conditionalFormatting>
  <conditionalFormatting sqref="D136 J136 P136">
    <cfRule type="cellIs" priority="26" stopIfTrue="1" operator="notEqual">
      <formula>365</formula>
    </cfRule>
  </conditionalFormatting>
  <conditionalFormatting sqref="D153 J153 P153">
    <cfRule type="cellIs" priority="27" stopIfTrue="1" operator="notEqual">
      <formula>365</formula>
    </cfRule>
  </conditionalFormatting>
  <conditionalFormatting sqref="D170 J170 P170">
    <cfRule type="cellIs" priority="28" stopIfTrue="1" operator="notEqual">
      <formula>365</formula>
    </cfRule>
  </conditionalFormatting>
  <conditionalFormatting sqref="D187 J187 P187">
    <cfRule type="cellIs" priority="29" stopIfTrue="1" operator="notEqual">
      <formula>365</formula>
    </cfRule>
  </conditionalFormatting>
  <conditionalFormatting sqref="D204 J204 P204">
    <cfRule type="cellIs" priority="30" stopIfTrue="1" operator="notEqual">
      <formula>365</formula>
    </cfRule>
  </conditionalFormatting>
  <conditionalFormatting sqref="D221 J221 P221">
    <cfRule type="cellIs" priority="31" stopIfTrue="1" operator="notEqual">
      <formula>365</formula>
    </cfRule>
  </conditionalFormatting>
  <conditionalFormatting sqref="D238 J238 P238">
    <cfRule type="cellIs" priority="32" stopIfTrue="1" operator="notEqual">
      <formula>365</formula>
    </cfRule>
  </conditionalFormatting>
  <conditionalFormatting sqref="D255 J255 P255">
    <cfRule type="cellIs" priority="33" stopIfTrue="1" operator="notEqual">
      <formula>365</formula>
    </cfRule>
  </conditionalFormatting>
  <conditionalFormatting sqref="D272 J272 P272">
    <cfRule type="cellIs" priority="34" stopIfTrue="1" operator="notEqual">
      <formula>365</formula>
    </cfRule>
  </conditionalFormatting>
  <conditionalFormatting sqref="D289 J289 P289">
    <cfRule type="cellIs" priority="35" stopIfTrue="1" operator="notEqual">
      <formula>365</formula>
    </cfRule>
  </conditionalFormatting>
  <conditionalFormatting sqref="D306 J306 P306">
    <cfRule type="cellIs" priority="36" stopIfTrue="1" operator="notEqual">
      <formula>365</formula>
    </cfRule>
  </conditionalFormatting>
  <conditionalFormatting sqref="I4">
    <cfRule type="cellIs" priority="37" stopIfTrue="1" operator="greaterThan">
      <formula>0</formula>
    </cfRule>
  </conditionalFormatting>
  <conditionalFormatting sqref="I21">
    <cfRule type="cellIs" priority="38" stopIfTrue="1" operator="greaterThan">
      <formula>0</formula>
    </cfRule>
  </conditionalFormatting>
  <conditionalFormatting sqref="I38">
    <cfRule type="cellIs" priority="39" stopIfTrue="1" operator="greaterThan">
      <formula>0</formula>
    </cfRule>
  </conditionalFormatting>
  <conditionalFormatting sqref="I55">
    <cfRule type="cellIs" priority="40" stopIfTrue="1" operator="greaterThan">
      <formula>0</formula>
    </cfRule>
  </conditionalFormatting>
  <conditionalFormatting sqref="I72">
    <cfRule type="cellIs" priority="41" stopIfTrue="1" operator="greaterThan">
      <formula>0</formula>
    </cfRule>
  </conditionalFormatting>
  <conditionalFormatting sqref="I89">
    <cfRule type="cellIs" priority="42" stopIfTrue="1" operator="greaterThan">
      <formula>0</formula>
    </cfRule>
  </conditionalFormatting>
  <conditionalFormatting sqref="I106">
    <cfRule type="cellIs" priority="43" stopIfTrue="1" operator="greaterThan">
      <formula>0</formula>
    </cfRule>
  </conditionalFormatting>
  <conditionalFormatting sqref="I123">
    <cfRule type="cellIs" priority="44" stopIfTrue="1" operator="greaterThan">
      <formula>0</formula>
    </cfRule>
  </conditionalFormatting>
  <conditionalFormatting sqref="I140">
    <cfRule type="cellIs" priority="45" stopIfTrue="1" operator="greaterThan">
      <formula>0</formula>
    </cfRule>
  </conditionalFormatting>
  <conditionalFormatting sqref="I157">
    <cfRule type="cellIs" priority="46" stopIfTrue="1" operator="greaterThan">
      <formula>0</formula>
    </cfRule>
  </conditionalFormatting>
  <conditionalFormatting sqref="I174">
    <cfRule type="cellIs" priority="47" stopIfTrue="1" operator="greaterThan">
      <formula>0</formula>
    </cfRule>
  </conditionalFormatting>
  <conditionalFormatting sqref="I191">
    <cfRule type="cellIs" priority="48" stopIfTrue="1" operator="greaterThan">
      <formula>0</formula>
    </cfRule>
  </conditionalFormatting>
  <conditionalFormatting sqref="I208">
    <cfRule type="cellIs" priority="49" stopIfTrue="1" operator="greaterThan">
      <formula>0</formula>
    </cfRule>
  </conditionalFormatting>
  <conditionalFormatting sqref="I225">
    <cfRule type="cellIs" priority="50" stopIfTrue="1" operator="greaterThan">
      <formula>0</formula>
    </cfRule>
  </conditionalFormatting>
  <conditionalFormatting sqref="I242">
    <cfRule type="cellIs" priority="51" stopIfTrue="1" operator="greaterThan">
      <formula>0</formula>
    </cfRule>
  </conditionalFormatting>
  <conditionalFormatting sqref="I259">
    <cfRule type="cellIs" priority="52" stopIfTrue="1" operator="greaterThan">
      <formula>0</formula>
    </cfRule>
  </conditionalFormatting>
  <conditionalFormatting sqref="I276">
    <cfRule type="cellIs" priority="53" stopIfTrue="1" operator="greaterThan">
      <formula>0</formula>
    </cfRule>
  </conditionalFormatting>
  <conditionalFormatting sqref="I293">
    <cfRule type="cellIs" priority="54" stopIfTrue="1" operator="greaterThan">
      <formula>0</formula>
    </cfRule>
  </conditionalFormatting>
  <conditionalFormatting sqref="O2">
    <cfRule type="cellIs" priority="55" stopIfTrue="1" operator="greaterThan">
      <formula>0</formula>
    </cfRule>
  </conditionalFormatting>
  <conditionalFormatting sqref="O4">
    <cfRule type="cellIs" priority="56" stopIfTrue="1" operator="greaterThan">
      <formula>0</formula>
    </cfRule>
  </conditionalFormatting>
  <conditionalFormatting sqref="O21">
    <cfRule type="cellIs" priority="57" stopIfTrue="1" operator="greaterThan">
      <formula>0</formula>
    </cfRule>
  </conditionalFormatting>
  <conditionalFormatting sqref="O38">
    <cfRule type="cellIs" priority="58" stopIfTrue="1" operator="greaterThan">
      <formula>0</formula>
    </cfRule>
  </conditionalFormatting>
  <conditionalFormatting sqref="O55">
    <cfRule type="cellIs" priority="59" stopIfTrue="1" operator="greaterThan">
      <formula>0</formula>
    </cfRule>
  </conditionalFormatting>
  <conditionalFormatting sqref="O72">
    <cfRule type="cellIs" priority="60" stopIfTrue="1" operator="greaterThan">
      <formula>0</formula>
    </cfRule>
  </conditionalFormatting>
  <conditionalFormatting sqref="O89">
    <cfRule type="cellIs" priority="61" stopIfTrue="1" operator="greaterThan">
      <formula>0</formula>
    </cfRule>
  </conditionalFormatting>
  <conditionalFormatting sqref="O106">
    <cfRule type="cellIs" priority="62" stopIfTrue="1" operator="greaterThan">
      <formula>0</formula>
    </cfRule>
  </conditionalFormatting>
  <conditionalFormatting sqref="O123">
    <cfRule type="cellIs" priority="63" stopIfTrue="1" operator="greaterThan">
      <formula>0</formula>
    </cfRule>
  </conditionalFormatting>
  <conditionalFormatting sqref="O140">
    <cfRule type="cellIs" priority="64" stopIfTrue="1" operator="greaterThan">
      <formula>0</formula>
    </cfRule>
  </conditionalFormatting>
  <conditionalFormatting sqref="O157">
    <cfRule type="cellIs" priority="65" stopIfTrue="1" operator="greaterThan">
      <formula>0</formula>
    </cfRule>
  </conditionalFormatting>
  <conditionalFormatting sqref="O174">
    <cfRule type="cellIs" priority="66" stopIfTrue="1" operator="greaterThan">
      <formula>0</formula>
    </cfRule>
  </conditionalFormatting>
  <conditionalFormatting sqref="O191">
    <cfRule type="cellIs" priority="67" stopIfTrue="1" operator="greaterThan">
      <formula>0</formula>
    </cfRule>
  </conditionalFormatting>
  <conditionalFormatting sqref="O208">
    <cfRule type="cellIs" priority="68" stopIfTrue="1" operator="greaterThan">
      <formula>0</formula>
    </cfRule>
  </conditionalFormatting>
  <conditionalFormatting sqref="O225">
    <cfRule type="cellIs" priority="69" stopIfTrue="1" operator="greaterThan">
      <formula>0</formula>
    </cfRule>
  </conditionalFormatting>
  <conditionalFormatting sqref="O242">
    <cfRule type="cellIs" priority="70" stopIfTrue="1" operator="greaterThan">
      <formula>0</formula>
    </cfRule>
  </conditionalFormatting>
  <conditionalFormatting sqref="O259">
    <cfRule type="cellIs" priority="71" stopIfTrue="1" operator="greaterThan">
      <formula>0</formula>
    </cfRule>
  </conditionalFormatting>
  <conditionalFormatting sqref="O276">
    <cfRule type="cellIs" priority="72" stopIfTrue="1" operator="greaterThan">
      <formula>0</formula>
    </cfRule>
  </conditionalFormatting>
  <conditionalFormatting sqref="O293">
    <cfRule type="cellIs" priority="73" stopIfTrue="1" operator="greaterThan">
      <formula>0</formula>
    </cfRule>
  </conditionalFormatting>
  <dataValidations count="1">
    <dataValidation allowBlank="1" showInputMessage="1" showErrorMessage="1" error="Le total des jours doit obligatoirement indiquer 365. (les périodes non travaillées doivent obligatoirement être indiquée avec tâche=0%)" sqref="D17 J17 P17 D34 J34 P34 D51 J51 P51 D68 J68 P68 D85 J85 P85 D102 J102 P102 D119 J119 P119 D136 J136 P136 D153 J153 P153 D170 J170 P170 D187 J187 P187 D204 J204 P204 D221 J221 P221 D238 J238 P238 D255 J255 P255 D272 J272 P272 D289 J289 P289 D306 J306 P306" xr:uid="{00000000-0002-0000-0500-000000000000}"/>
  </dataValidations>
  <printOptions horizontalCentered="1" headings="1"/>
  <pageMargins left="0.3543307086614173" right="0.3543307086614173" top="0.6692913385826772" bottom="0.39763779527559057" header="0.27559055118110237" footer="0.15748031496062992"/>
  <pageSetup paperSize="9" scale="12" orientation="landscape" r:id="rId1"/>
  <headerFooter alignWithMargins="0">
    <oddFooter>&amp;L&amp;"Calibri,Regular"&amp;K000000&amp;F/&amp;A&amp;R&amp;"Calibri,Regular"&amp;K000000Date d'impression : &amp;D // Page &amp;P sur &amp;N</oddFooter>
  </headerFooter>
  <rowBreaks count="3" manualBreakCount="3">
    <brk id="88" man="1"/>
    <brk id="173" man="1"/>
    <brk id="258"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sheetPr>
  <dimension ref="A1:X4"/>
  <sheetViews>
    <sheetView topLeftCell="B1" workbookViewId="0">
      <selection activeCell="E4" sqref="E4"/>
    </sheetView>
  </sheetViews>
  <sheetFormatPr defaultColWidth="11.44140625" defaultRowHeight="14.4" outlineLevelCol="1" x14ac:dyDescent="0.3"/>
  <cols>
    <col min="1" max="1" width="8" style="27" hidden="1" customWidth="1" outlineLevel="1"/>
    <col min="2" max="2" width="11.44140625" style="27" customWidth="1" collapsed="1"/>
    <col min="3" max="3" width="18.33203125" style="27" customWidth="1"/>
    <col min="4" max="4" width="34.6640625" style="27" bestFit="1" customWidth="1"/>
    <col min="5" max="5" width="8.44140625" style="27" customWidth="1"/>
    <col min="6" max="6" width="7.109375" style="273" customWidth="1"/>
    <col min="7" max="7" width="12.6640625" style="27" customWidth="1"/>
    <col min="8" max="8" width="14.5546875" style="27" customWidth="1"/>
    <col min="10" max="10" width="11.44140625" style="27" customWidth="1"/>
    <col min="11" max="11" width="16.33203125" style="27" customWidth="1"/>
    <col min="12" max="12" width="16.33203125" customWidth="1"/>
    <col min="13" max="13" width="12.44140625" customWidth="1"/>
    <col min="15" max="15" width="11.88671875" style="27" customWidth="1"/>
    <col min="16" max="16" width="8" style="27" customWidth="1"/>
    <col min="17" max="17" width="16.33203125" style="27" customWidth="1"/>
    <col min="18" max="18" width="14.33203125" style="27" customWidth="1"/>
    <col min="19" max="19" width="18.88671875" style="27" customWidth="1"/>
    <col min="20" max="20" width="11.6640625" customWidth="1"/>
    <col min="21" max="21" width="18.88671875" style="27" customWidth="1"/>
    <col min="22" max="22" width="12.5546875" customWidth="1"/>
    <col min="23" max="24" width="13.6640625" style="27" customWidth="1"/>
    <col min="26" max="26" width="11.109375" customWidth="1"/>
  </cols>
  <sheetData>
    <row r="1" spans="1:24" ht="21" x14ac:dyDescent="0.3">
      <c r="B1" s="272" t="s">
        <v>567</v>
      </c>
      <c r="E1" s="484" t="str">
        <f>IF(COUNTBLANK(RDP_Effectif[Type de personnel])=0,"Tableau ok ✅","Attention, il y a "&amp;COUNTBLANK(RDP_Effectif[Type de personnel])&amp;" ligne(s) vide(s), merci de la/les supprimer ❌")</f>
        <v>Attention, il y a 1 ligne(s) vide(s), merci de la/les supprimer ❌</v>
      </c>
      <c r="I1" s="468"/>
      <c r="L1" s="484" t="str">
        <f>IF(COUNTBLANK(RDP_Effectif[ETP après déduction des h de maladie])+COUNTBLANK(RDP_Effectif[[Salaire brut estimé sur une année (charge brute totale + part patronale, y compris 13ème mois hors prime unique et pécule de vacances)]:[Contrôle (95 - 105%) salaire réel/théorique]])+COUNTBLANK(RDP_Effectif[Coût salaire annuel])=0,
"Tableau ok ✅",
"Attention, il y a "&amp;(COUNTBLANK(RDP_Effectif[ETP après déduction des h de maladie])+COUNTBLANK(RDP_Effectif[[Salaire brut estimé sur une année (charge brute totale + part patronale, y compris 13ème mois hors prime unique et pécule de vacances)]:[Contrôle (95 - 105%) salaire réel/théorique]])+COUNTBLANK(RDP_Effectif[Coût salaire annuel]))&amp;" cellules(s) grisée(s) vides ❌")</f>
        <v>Attention, il y a 4 cellules(s) grisée(s) vides ❌</v>
      </c>
      <c r="M1" s="27"/>
      <c r="N1" s="27"/>
      <c r="Q1" s="484" t="str" cm="1">
        <f t="array" ref="Q1">IF(SUM(
  (RDP_Effectif[Contrôle (95 - 105%) salaire réel/théorique]="À justifier")*
  (RDP_Effectif[Justification le cas échéant (si écart entre salaire réel et salaire théorique)]="")
)
=0,"Tableau ok ✅","Attention, "&amp;SUM(
  (RDP_Effectif[Contrôle (95 - 105%) salaire réel/théorique]="À justifier")*
  (RDP_Effectif[Justification le cas échéant (si écart entre salaire réel et salaire théorique)]="")
)&amp;" justification(s) encore attendue(s) ❌")</f>
        <v>Tableau ok ✅</v>
      </c>
      <c r="T1" s="27"/>
      <c r="U1"/>
      <c r="W1"/>
      <c r="X1"/>
    </row>
    <row r="2" spans="1:24" ht="15" customHeight="1" x14ac:dyDescent="0.3">
      <c r="A2" s="328"/>
      <c r="B2" s="367" t="s">
        <v>404</v>
      </c>
      <c r="C2" s="368"/>
      <c r="D2" s="368"/>
      <c r="I2" s="27"/>
      <c r="L2" s="27"/>
      <c r="M2" s="27"/>
      <c r="N2" s="27"/>
      <c r="T2" s="27"/>
      <c r="U2"/>
      <c r="W2"/>
      <c r="X2"/>
    </row>
    <row r="3" spans="1:24" s="485" customFormat="1" ht="144.6" thickBot="1" x14ac:dyDescent="0.35">
      <c r="A3" s="275" t="s">
        <v>355</v>
      </c>
      <c r="B3" s="372" t="s">
        <v>410</v>
      </c>
      <c r="C3" s="372" t="s">
        <v>349</v>
      </c>
      <c r="D3" s="396" t="s">
        <v>318</v>
      </c>
      <c r="E3" s="397" t="s">
        <v>282</v>
      </c>
      <c r="F3" s="398" t="s">
        <v>565</v>
      </c>
      <c r="G3" s="397" t="s">
        <v>360</v>
      </c>
      <c r="H3" s="397" t="s">
        <v>359</v>
      </c>
      <c r="I3" s="397" t="s">
        <v>501</v>
      </c>
      <c r="J3" s="397" t="s">
        <v>502</v>
      </c>
      <c r="K3" s="397" t="s">
        <v>573</v>
      </c>
      <c r="L3" s="397" t="s">
        <v>574</v>
      </c>
      <c r="M3" s="397" t="s">
        <v>165</v>
      </c>
      <c r="N3" s="397" t="s">
        <v>47</v>
      </c>
      <c r="O3" s="397" t="s">
        <v>503</v>
      </c>
      <c r="P3" s="397" t="s">
        <v>361</v>
      </c>
      <c r="Q3" s="397" t="s">
        <v>585</v>
      </c>
      <c r="R3" s="397" t="s">
        <v>586</v>
      </c>
      <c r="S3" s="397" t="s">
        <v>171</v>
      </c>
      <c r="T3" s="399" t="s">
        <v>216</v>
      </c>
    </row>
    <row r="4" spans="1:24" x14ac:dyDescent="0.3">
      <c r="A4" s="453"/>
      <c r="B4" s="453"/>
      <c r="C4" s="310"/>
      <c r="D4" s="454"/>
      <c r="E4" s="311"/>
      <c r="F4" s="312"/>
      <c r="G4" s="455"/>
      <c r="H4" s="456"/>
      <c r="I4" s="313"/>
      <c r="J4" s="313"/>
      <c r="K4" s="313"/>
      <c r="L4" s="313"/>
      <c r="M4" s="313"/>
      <c r="N4" s="313"/>
      <c r="O4" s="313"/>
      <c r="P4" s="321"/>
      <c r="Q4" s="322"/>
      <c r="R4" s="322"/>
      <c r="S4" s="483"/>
      <c r="T4" s="323"/>
      <c r="U4"/>
      <c r="W4"/>
      <c r="X4"/>
    </row>
  </sheetData>
  <phoneticPr fontId="40" type="noConversion"/>
  <conditionalFormatting sqref="E1">
    <cfRule type="containsText" dxfId="82" priority="10" operator="containsText" text="ok">
      <formula>NOT(ISERROR(SEARCH("ok",E1)))</formula>
    </cfRule>
  </conditionalFormatting>
  <conditionalFormatting sqref="I1">
    <cfRule type="containsText" dxfId="81" priority="4" operator="containsText" text="ok">
      <formula>NOT(ISERROR(SEARCH("ok",I1)))</formula>
    </cfRule>
  </conditionalFormatting>
  <conditionalFormatting sqref="L1">
    <cfRule type="containsText" dxfId="80" priority="8" operator="containsText" text="ok">
      <formula>NOT(ISERROR(SEARCH("ok",L1)))</formula>
    </cfRule>
  </conditionalFormatting>
  <conditionalFormatting sqref="Q1">
    <cfRule type="containsText" dxfId="79" priority="1" operator="containsText" text="ok">
      <formula>NOT(ISERROR(SEARCH("ok",Q1)))</formula>
    </cfRule>
  </conditionalFormatting>
  <conditionalFormatting sqref="S4">
    <cfRule type="expression" dxfId="78" priority="2">
      <formula>AND($R4&lt;&gt;"Ok",$S4="")</formula>
    </cfRule>
  </conditionalFormatting>
  <dataValidations count="4">
    <dataValidation type="custom" operator="notEqual" allowBlank="1" showInputMessage="1" showErrorMessage="1" errorTitle="Error" error="Merci de ne pas écraser les formules svp" sqref="P4" xr:uid="{38A7AE6F-68D9-48E6-A8B5-0A225F79DDB4}">
      <formula1>C4=""</formula1>
    </dataValidation>
    <dataValidation type="custom" operator="notEqual" allowBlank="1" showInputMessage="1" showErrorMessage="1" errorTitle="Error" error="Merci de ne pas écraser les formules svp" sqref="R4" xr:uid="{8EBE8FCB-F085-4219-ACA7-DB2CEC15F88B}">
      <formula1>C4=""</formula1>
    </dataValidation>
    <dataValidation type="custom" operator="notEqual" allowBlank="1" showInputMessage="1" showErrorMessage="1" errorTitle="Error" error="Merci de ne pas écraser les formules svp" sqref="T4" xr:uid="{476CA3C8-675A-45E2-A800-47006D707F99}">
      <formula1>C4=""</formula1>
    </dataValidation>
    <dataValidation type="custom" operator="notEqual" allowBlank="1" showInputMessage="1" showErrorMessage="1" errorTitle="Error" error="Merci de ne pas écraser les formules svp" sqref="Q4" xr:uid="{776F2FCB-9DBA-456B-98B4-98B882B3FE67}">
      <formula1>C4=""</formula1>
    </dataValidation>
  </dataValidations>
  <printOptions horizontalCentered="1"/>
  <pageMargins left="0.31496062992125984" right="0.31496062992125984" top="0.35433070866141736" bottom="0.35433070866141736" header="0.31496062992125984" footer="0.31496062992125984"/>
  <pageSetup paperSize="8" scale="44" orientation="portrait" r:id="rId1"/>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912DAC27-5CA5-4543-AB9A-66C6D90CBF1A}">
          <x14:formula1>
            <xm:f>Data!$R$4:$R$5</xm:f>
          </x14:formula1>
          <xm:sqref>C4</xm:sqref>
        </x14:dataValidation>
        <x14:dataValidation type="list" allowBlank="1" showInputMessage="1" showErrorMessage="1" xr:uid="{6638E95E-AFE3-4786-8DD8-589EBDBE0B55}">
          <x14:formula1>
            <xm:f>Data!$V$4:$V$7</xm:f>
          </x14:formula1>
          <xm:sqref>D4</xm:sqref>
        </x14:dataValidation>
        <x14:dataValidation type="list" allowBlank="1" showInputMessage="1" showErrorMessage="1" xr:uid="{CB6319AC-DFDE-48C4-BCD1-569D3EF29AD0}">
          <x14:formula1>
            <xm:f>Data!$O$4:$O$28</xm:f>
          </x14:formula1>
          <xm:sqref>E4</xm:sqref>
        </x14:dataValidation>
        <x14:dataValidation type="list" allowBlank="1" showInputMessage="1" showErrorMessage="1" xr:uid="{79BF7259-E07C-4524-BBEB-BB753870E26E}">
          <x14:formula1>
            <xm:f>Data!$AL$4:$AL$10</xm:f>
          </x14:formula1>
          <xm:sqref>A4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6</vt:i4>
      </vt:variant>
    </vt:vector>
  </HeadingPairs>
  <TitlesOfParts>
    <vt:vector size="24" baseType="lpstr">
      <vt:lpstr>Carrières et points</vt:lpstr>
      <vt:lpstr>Data</vt:lpstr>
      <vt:lpstr>F0 - Générales</vt:lpstr>
      <vt:lpstr>F1 - Infos compl J</vt:lpstr>
      <vt:lpstr>F2 - Facturation H</vt:lpstr>
      <vt:lpstr>F2 - Facturation J</vt:lpstr>
      <vt:lpstr>Explication calcul ETP</vt:lpstr>
      <vt:lpstr>Aide au calcul ETP</vt:lpstr>
      <vt:lpstr>F3 - RDP - Effectif</vt:lpstr>
      <vt:lpstr>F3 - RDP - Specifique</vt:lpstr>
      <vt:lpstr>F4 - RTT</vt:lpstr>
      <vt:lpstr>F5 - Frais et recettes</vt:lpstr>
      <vt:lpstr>F6 - Résultat</vt:lpstr>
      <vt:lpstr>Test de plausibilité old</vt:lpstr>
      <vt:lpstr>Test de plausibilité</vt:lpstr>
      <vt:lpstr>Test d'agrément</vt:lpstr>
      <vt:lpstr>Synthèse ETP</vt:lpstr>
      <vt:lpstr>Synthèse</vt:lpstr>
      <vt:lpstr>Horaire</vt:lpstr>
      <vt:lpstr>Journalier</vt:lpstr>
      <vt:lpstr>'Aide au calcul ETP'!Print_Area</vt:lpstr>
      <vt:lpstr>'F1 - Infos compl J'!Print_Area</vt:lpstr>
      <vt:lpstr>'Test de plausibilité'!Print_Area</vt:lpstr>
      <vt:lpstr>'Test de plausibilité old'!Print_Area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Pierre-Yves Muri</dc:creator>
  <cp:lastModifiedBy>Youssef El Bertali</cp:lastModifiedBy>
  <cp:lastPrinted>2026-05-21T12:34:07Z</cp:lastPrinted>
  <dcterms:created xsi:type="dcterms:W3CDTF">2018-03-26T08:42:40Z</dcterms:created>
  <dcterms:modified xsi:type="dcterms:W3CDTF">2026-05-22T08:34:10Z</dcterms:modified>
</cp:coreProperties>
</file>