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SAEF\private\8. FINANCES\Recensement\2023\"/>
    </mc:Choice>
  </mc:AlternateContent>
  <xr:revisionPtr revIDLastSave="0" documentId="13_ncr:1_{23EDA342-AFCC-43C5-BBF2-34E3E9917D97}" xr6:coauthVersionLast="47" xr6:coauthVersionMax="47" xr10:uidLastSave="{00000000-0000-0000-0000-000000000000}"/>
  <bookViews>
    <workbookView xWindow="-108" yWindow="-108" windowWidth="23256" windowHeight="12576" tabRatio="771" xr2:uid="{00000000-000D-0000-FFFF-FFFF00000000}"/>
  </bookViews>
  <sheets>
    <sheet name="F0 - Données générales" sheetId="1" r:id="rId1"/>
    <sheet name="F1 - Renseignementscompl" sheetId="14" state="hidden" r:id="rId2"/>
    <sheet name="F2 - Données facturation" sheetId="7" r:id="rId3"/>
    <sheet name="F3 - Relevé du personnel" sheetId="2" r:id="rId4"/>
    <sheet name="F3 - Formations et absences enc" sheetId="9" state="hidden" r:id="rId5"/>
    <sheet name="F4 - Amortissement_investiss" sheetId="8" state="hidden" r:id="rId6"/>
    <sheet name="F5 - Frais et recettes" sheetId="6" state="hidden" r:id="rId7"/>
    <sheet name="F6 - Bénéfice_perte" sheetId="20" state="hidden" r:id="rId8"/>
    <sheet name="Explication calcul ETP" sheetId="12" r:id="rId9"/>
    <sheet name="Aide au calcul ETP" sheetId="13" r:id="rId10"/>
    <sheet name="Carrières et points" sheetId="4" state="hidden" r:id="rId11"/>
    <sheet name="Test de plausibilité - FEDAS" sheetId="10" r:id="rId12"/>
    <sheet name="Test de plausibilité - MENJE" sheetId="17" r:id="rId13"/>
    <sheet name="Synthèse" sheetId="18" r:id="rId14"/>
  </sheets>
  <definedNames>
    <definedName name="_xlnm._FilterDatabase" localSheetId="1">"'f1-renseignementscompl'!#ref!"</definedName>
    <definedName name="_xlnm._FilterDatabase" localSheetId="12" hidden="1">'Test de plausibilité - MENJE'!$A$1:$A$1110</definedName>
    <definedName name="ANCIENNETE" localSheetId="1">#REF!</definedName>
    <definedName name="ANCIENNETE" localSheetId="7">#REF!</definedName>
    <definedName name="ANCIENNETE">#REF!</definedName>
    <definedName name="CONDITION_CARRIERE" localSheetId="1">#REF!</definedName>
    <definedName name="CONDITION_CARRIERE" localSheetId="7">#REF!</definedName>
    <definedName name="CONDITION_CARRIERE">#REF!</definedName>
    <definedName name="_xlnm.Data_Form" localSheetId="1">#REF!</definedName>
    <definedName name="_xlnm.Data_Form" localSheetId="7">#REF!</definedName>
    <definedName name="_xlnm.Data_Form">#REF!</definedName>
    <definedName name="List3" localSheetId="1">#REF!</definedName>
    <definedName name="List3" localSheetId="7">#REF!</definedName>
    <definedName name="List3">#REF!</definedName>
    <definedName name="PA1b" localSheetId="1">#REF!</definedName>
    <definedName name="PA1b" localSheetId="7">#REF!</definedName>
    <definedName name="PA1b">#REF!</definedName>
    <definedName name="PE1a" localSheetId="1">#REF!</definedName>
    <definedName name="PE1a" localSheetId="7">#REF!</definedName>
    <definedName name="PE1a">#REF!</definedName>
    <definedName name="_xlnm.Print_Area" localSheetId="9">'Aide au calcul ETP'!$A$1:$R$308</definedName>
    <definedName name="_xlnm.Print_Area" localSheetId="1">'F1 - Renseignementscompl'!$M$1:$Y$20</definedName>
    <definedName name="_xlnm.Print_Area" localSheetId="3">'F3 - Relevé du personnel'!$A$2:$J$281,'F3 - Relevé du personnel'!#REF!</definedName>
    <definedName name="_xlnm.Print_Area" localSheetId="12">'Test de plausibilité - MENJE'!$B$4:$K$1086</definedName>
    <definedName name="ref_colonne" localSheetId="1">#REF!</definedName>
    <definedName name="ref_colonne" localSheetId="7">#REF!</definedName>
    <definedName name="ref_colonne">#REF!</definedName>
    <definedName name="VERTICALE" localSheetId="1">#REF!</definedName>
    <definedName name="VERTICALE" localSheetId="7">#REF!</definedName>
    <definedName name="VERTICA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4" i="2"/>
  <c r="D173" i="18" l="1"/>
  <c r="B161" i="18"/>
  <c r="Y26" i="7"/>
  <c r="Y25" i="7"/>
  <c r="Y24" i="7"/>
  <c r="Y23" i="7"/>
  <c r="Y22" i="7"/>
  <c r="Y21" i="7"/>
  <c r="H12" i="18"/>
  <c r="H11" i="18"/>
  <c r="H8" i="18"/>
  <c r="H5" i="18"/>
  <c r="H4" i="18"/>
  <c r="H1" i="18" l="1"/>
  <c r="W36" i="7" l="1"/>
  <c r="W35" i="7"/>
  <c r="W34" i="7"/>
  <c r="W33" i="7"/>
  <c r="W32" i="7"/>
  <c r="W31" i="7"/>
  <c r="E4" i="18"/>
  <c r="D10" i="18"/>
  <c r="D9" i="18"/>
  <c r="D8" i="18"/>
  <c r="D7" i="18"/>
  <c r="D6" i="18"/>
  <c r="D4" i="18"/>
  <c r="E2" i="18"/>
  <c r="D5" i="18" l="1"/>
  <c r="C12" i="18" l="1"/>
  <c r="B12" i="18"/>
  <c r="C11" i="18"/>
  <c r="B11" i="18"/>
  <c r="C10" i="18"/>
  <c r="B10" i="18"/>
  <c r="C9" i="18"/>
  <c r="B9" i="18"/>
  <c r="C8" i="18"/>
  <c r="B8" i="18"/>
  <c r="B7" i="18"/>
  <c r="C7" i="18"/>
  <c r="C6" i="18"/>
  <c r="B6" i="18"/>
  <c r="C5" i="18"/>
  <c r="B5" i="18"/>
  <c r="A12" i="18"/>
  <c r="A11" i="18"/>
  <c r="A10" i="18"/>
  <c r="A9" i="18"/>
  <c r="A8" i="18"/>
  <c r="A7" i="18"/>
  <c r="E3" i="18" s="1"/>
  <c r="A6" i="18"/>
  <c r="A5" i="18"/>
  <c r="A4" i="18"/>
  <c r="A3" i="18"/>
  <c r="C21" i="20"/>
  <c r="E4" i="20"/>
  <c r="E10" i="18" l="1"/>
  <c r="F10" i="18" s="1"/>
  <c r="E9" i="18"/>
  <c r="F9" i="18" s="1"/>
  <c r="E7" i="18"/>
  <c r="F7" i="18" s="1"/>
  <c r="E8" i="18"/>
  <c r="F8" i="18" s="1"/>
  <c r="E6" i="18"/>
  <c r="F6" i="18" s="1"/>
  <c r="E5" i="18"/>
  <c r="F5" i="18" s="1"/>
  <c r="C4" i="18"/>
  <c r="B3" i="18"/>
  <c r="B4" i="18"/>
  <c r="C3" i="18"/>
  <c r="A238" i="18"/>
  <c r="B238" i="18"/>
  <c r="A240" i="18"/>
  <c r="B240" i="18"/>
  <c r="A242" i="18"/>
  <c r="B242" i="18"/>
  <c r="A244" i="18"/>
  <c r="B244" i="18"/>
  <c r="A245" i="18"/>
  <c r="B245" i="18"/>
  <c r="A246" i="18"/>
  <c r="B246" i="18"/>
  <c r="A247" i="18"/>
  <c r="B247" i="18"/>
  <c r="F13" i="18" l="1"/>
  <c r="I12" i="18" s="1"/>
  <c r="C13" i="18"/>
  <c r="B13" i="18"/>
  <c r="B248" i="18"/>
  <c r="B250" i="18" s="1"/>
  <c r="I11" i="18" l="1"/>
  <c r="I8" i="18"/>
  <c r="C13" i="10" l="1"/>
  <c r="C12" i="10"/>
  <c r="C11" i="10"/>
  <c r="C10" i="10"/>
  <c r="C6" i="10"/>
  <c r="C8" i="10" s="1"/>
  <c r="D6" i="10"/>
  <c r="E472" i="17"/>
  <c r="I13" i="4"/>
  <c r="I7" i="4"/>
  <c r="E10" i="4" l="1"/>
  <c r="I14" i="4"/>
  <c r="I8" i="4"/>
  <c r="J579" i="17"/>
  <c r="K579" i="17"/>
  <c r="J578" i="17"/>
  <c r="K578" i="17"/>
  <c r="A160" i="18"/>
  <c r="A158" i="18"/>
  <c r="G141" i="18"/>
  <c r="F141" i="18"/>
  <c r="H141" i="18" s="1"/>
  <c r="G140" i="18"/>
  <c r="H140" i="18" s="1"/>
  <c r="F140" i="18"/>
  <c r="G139" i="18"/>
  <c r="F139" i="18"/>
  <c r="G138" i="18"/>
  <c r="F138" i="18"/>
  <c r="G137" i="18"/>
  <c r="F137" i="18"/>
  <c r="G136" i="18"/>
  <c r="F136" i="18"/>
  <c r="G135" i="18"/>
  <c r="F135" i="18"/>
  <c r="H135" i="18" s="1"/>
  <c r="I131" i="18"/>
  <c r="K131" i="18" s="1"/>
  <c r="H131" i="18"/>
  <c r="G131" i="18"/>
  <c r="F131" i="18"/>
  <c r="I130" i="18"/>
  <c r="H130" i="18"/>
  <c r="G130" i="18"/>
  <c r="F130" i="18"/>
  <c r="I129" i="18"/>
  <c r="H129" i="18"/>
  <c r="G129" i="18"/>
  <c r="F129" i="18"/>
  <c r="I128" i="18"/>
  <c r="K128" i="18" s="1"/>
  <c r="H128" i="18"/>
  <c r="G128" i="18"/>
  <c r="F128" i="18"/>
  <c r="I127" i="18"/>
  <c r="H127" i="18"/>
  <c r="G127" i="18"/>
  <c r="F127" i="18"/>
  <c r="I126" i="18"/>
  <c r="H126" i="18"/>
  <c r="G126" i="18"/>
  <c r="F126" i="18"/>
  <c r="J126" i="18" s="1"/>
  <c r="I125" i="18"/>
  <c r="K125" i="18" s="1"/>
  <c r="H125" i="18"/>
  <c r="G125" i="18"/>
  <c r="F125" i="18"/>
  <c r="I124" i="18"/>
  <c r="H124" i="18"/>
  <c r="G124" i="18"/>
  <c r="F124" i="18"/>
  <c r="I123" i="18"/>
  <c r="H123" i="18"/>
  <c r="H132" i="18" s="1"/>
  <c r="G123" i="18"/>
  <c r="F123" i="18"/>
  <c r="J123" i="18" s="1"/>
  <c r="I122" i="18"/>
  <c r="H122" i="18"/>
  <c r="G122" i="18"/>
  <c r="F122" i="18"/>
  <c r="I118" i="18"/>
  <c r="H118" i="18"/>
  <c r="G118" i="18"/>
  <c r="F118" i="18"/>
  <c r="I117" i="18"/>
  <c r="H117" i="18"/>
  <c r="H119" i="18" s="1"/>
  <c r="G117" i="18"/>
  <c r="K117" i="18" s="1"/>
  <c r="F117" i="18"/>
  <c r="J117" i="18" s="1"/>
  <c r="I116" i="18"/>
  <c r="K116" i="18" s="1"/>
  <c r="H116" i="18"/>
  <c r="G116" i="18"/>
  <c r="F116" i="18"/>
  <c r="F111" i="18"/>
  <c r="E111" i="18"/>
  <c r="D111" i="18"/>
  <c r="A111" i="18"/>
  <c r="D110" i="18"/>
  <c r="A110" i="18"/>
  <c r="E109" i="18"/>
  <c r="D109" i="18"/>
  <c r="C109" i="18"/>
  <c r="A109" i="18"/>
  <c r="E108" i="18"/>
  <c r="D108" i="18"/>
  <c r="A108" i="18"/>
  <c r="E107" i="18"/>
  <c r="D107" i="18"/>
  <c r="A107" i="18"/>
  <c r="E106" i="18"/>
  <c r="D106" i="18"/>
  <c r="A106" i="18"/>
  <c r="E105" i="18"/>
  <c r="D105" i="18"/>
  <c r="A105" i="18"/>
  <c r="E104" i="18"/>
  <c r="D104" i="18"/>
  <c r="A104" i="18"/>
  <c r="E103" i="18"/>
  <c r="D103" i="18"/>
  <c r="A103" i="18"/>
  <c r="E102" i="18"/>
  <c r="D102" i="18"/>
  <c r="A102" i="18"/>
  <c r="D101" i="18"/>
  <c r="A101" i="18"/>
  <c r="E100" i="18"/>
  <c r="D100" i="18"/>
  <c r="C100" i="18"/>
  <c r="A100" i="18"/>
  <c r="E99" i="18"/>
  <c r="D99" i="18"/>
  <c r="C99" i="18"/>
  <c r="A99" i="18"/>
  <c r="E98" i="18"/>
  <c r="D98" i="18"/>
  <c r="C98" i="18"/>
  <c r="A98" i="18"/>
  <c r="E97" i="18"/>
  <c r="D97" i="18"/>
  <c r="C97" i="18"/>
  <c r="A97" i="18"/>
  <c r="E96" i="18"/>
  <c r="D96" i="18"/>
  <c r="C96" i="18"/>
  <c r="A96" i="18"/>
  <c r="D95" i="18"/>
  <c r="C95" i="18"/>
  <c r="A95" i="18"/>
  <c r="D94" i="18"/>
  <c r="C94" i="18"/>
  <c r="A94" i="18"/>
  <c r="F93" i="18"/>
  <c r="E93" i="18"/>
  <c r="D93" i="18"/>
  <c r="C93" i="18"/>
  <c r="A93" i="18"/>
  <c r="F92" i="18"/>
  <c r="E92" i="18"/>
  <c r="D92" i="18"/>
  <c r="C92" i="18"/>
  <c r="A92" i="18"/>
  <c r="F91" i="18"/>
  <c r="E91" i="18"/>
  <c r="D91" i="18"/>
  <c r="C91" i="18"/>
  <c r="A91" i="18"/>
  <c r="F90" i="18"/>
  <c r="D90" i="18"/>
  <c r="A90" i="18"/>
  <c r="F89" i="18"/>
  <c r="E89" i="18"/>
  <c r="D89" i="18"/>
  <c r="C89" i="18"/>
  <c r="B89" i="18"/>
  <c r="A89" i="18"/>
  <c r="F88" i="18"/>
  <c r="E88" i="18"/>
  <c r="D88" i="18"/>
  <c r="C88" i="18"/>
  <c r="B88" i="18"/>
  <c r="A88" i="18"/>
  <c r="F87" i="18"/>
  <c r="E87" i="18"/>
  <c r="D87" i="18"/>
  <c r="C87" i="18"/>
  <c r="B87" i="18"/>
  <c r="A87" i="18"/>
  <c r="F86" i="18"/>
  <c r="E86" i="18"/>
  <c r="D86" i="18"/>
  <c r="C86" i="18"/>
  <c r="B86" i="18"/>
  <c r="A86" i="18"/>
  <c r="A85" i="18"/>
  <c r="A84" i="18"/>
  <c r="A1" i="18"/>
  <c r="A1049" i="17"/>
  <c r="A1048" i="17"/>
  <c r="A1047" i="17"/>
  <c r="A1046" i="17"/>
  <c r="A1045" i="17"/>
  <c r="A1044" i="17"/>
  <c r="A1043" i="17"/>
  <c r="A1042" i="17"/>
  <c r="A1041" i="17"/>
  <c r="A1040" i="17"/>
  <c r="A1039" i="17"/>
  <c r="A1038" i="17"/>
  <c r="A1037" i="17"/>
  <c r="A1036" i="17"/>
  <c r="A1035" i="17"/>
  <c r="A1034" i="17"/>
  <c r="A1033" i="17"/>
  <c r="A1032" i="17"/>
  <c r="A1031" i="17"/>
  <c r="A1030" i="17"/>
  <c r="A1029" i="17"/>
  <c r="A1028" i="17"/>
  <c r="A1027" i="17"/>
  <c r="A1026" i="17"/>
  <c r="A1025" i="17"/>
  <c r="A1024" i="17"/>
  <c r="A1023" i="17"/>
  <c r="A1022" i="17"/>
  <c r="A1021" i="17"/>
  <c r="A1020" i="17"/>
  <c r="A1019" i="17"/>
  <c r="A1018" i="17"/>
  <c r="A1017" i="17"/>
  <c r="A1016" i="17"/>
  <c r="A1015" i="17"/>
  <c r="A1014" i="17"/>
  <c r="A1013" i="17"/>
  <c r="A1012" i="17"/>
  <c r="A1011" i="17"/>
  <c r="A1010" i="17"/>
  <c r="A1009" i="17"/>
  <c r="A1008" i="17"/>
  <c r="A1007" i="17"/>
  <c r="A1006" i="17"/>
  <c r="A1005" i="17"/>
  <c r="A1004" i="17"/>
  <c r="A1003" i="17"/>
  <c r="A1002" i="17"/>
  <c r="A1001" i="17"/>
  <c r="A1000" i="17"/>
  <c r="A999" i="17"/>
  <c r="A998" i="17"/>
  <c r="A997" i="17"/>
  <c r="A996" i="17"/>
  <c r="A995" i="17"/>
  <c r="A994" i="17"/>
  <c r="A993" i="17"/>
  <c r="A992" i="17"/>
  <c r="A991" i="17"/>
  <c r="A990" i="17"/>
  <c r="A989" i="17"/>
  <c r="A988" i="17"/>
  <c r="A987" i="17"/>
  <c r="A986" i="17"/>
  <c r="A985" i="17"/>
  <c r="A984" i="17"/>
  <c r="A983" i="17"/>
  <c r="A982" i="17"/>
  <c r="A981" i="17"/>
  <c r="A980" i="17"/>
  <c r="A979" i="17"/>
  <c r="A978" i="17"/>
  <c r="A977" i="17"/>
  <c r="A976" i="17"/>
  <c r="A975" i="17"/>
  <c r="A974" i="17"/>
  <c r="A973" i="17"/>
  <c r="A972" i="17"/>
  <c r="A971" i="17"/>
  <c r="A970" i="17"/>
  <c r="A969" i="17"/>
  <c r="A968" i="17"/>
  <c r="A967" i="17"/>
  <c r="A966" i="17"/>
  <c r="A965" i="17"/>
  <c r="A964" i="17"/>
  <c r="A963" i="17"/>
  <c r="A962" i="17"/>
  <c r="A961" i="17"/>
  <c r="A960" i="17"/>
  <c r="A959" i="17"/>
  <c r="A958" i="17"/>
  <c r="A957" i="17"/>
  <c r="A956" i="17"/>
  <c r="A955" i="17"/>
  <c r="A954" i="17"/>
  <c r="A953" i="17"/>
  <c r="A952" i="17"/>
  <c r="A951" i="17"/>
  <c r="A950" i="17"/>
  <c r="A949" i="17"/>
  <c r="A948" i="17"/>
  <c r="A947" i="17"/>
  <c r="A946" i="17"/>
  <c r="A945" i="17"/>
  <c r="A944" i="17"/>
  <c r="A943" i="17"/>
  <c r="A942" i="17"/>
  <c r="A941" i="17"/>
  <c r="A940" i="17"/>
  <c r="A939" i="17"/>
  <c r="A938" i="17"/>
  <c r="A937" i="17"/>
  <c r="A936" i="17"/>
  <c r="A935" i="17"/>
  <c r="A934" i="17"/>
  <c r="A933" i="17"/>
  <c r="A932" i="17"/>
  <c r="A931" i="17"/>
  <c r="A930" i="17"/>
  <c r="A929" i="17"/>
  <c r="A928" i="17"/>
  <c r="A927" i="17"/>
  <c r="A926" i="17"/>
  <c r="A925" i="17"/>
  <c r="A924" i="17"/>
  <c r="A923" i="17"/>
  <c r="A922" i="17"/>
  <c r="A921" i="17"/>
  <c r="A920" i="17"/>
  <c r="A919" i="17"/>
  <c r="A918" i="17"/>
  <c r="A917" i="17"/>
  <c r="A916" i="17"/>
  <c r="A915"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6" i="17"/>
  <c r="A655" i="17"/>
  <c r="A654" i="17"/>
  <c r="A653" i="17"/>
  <c r="A652" i="17"/>
  <c r="A651" i="17"/>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C573" i="17"/>
  <c r="C572" i="17"/>
  <c r="G1102" i="17" s="1"/>
  <c r="A525" i="17"/>
  <c r="A524" i="17"/>
  <c r="A523" i="17"/>
  <c r="A522" i="17"/>
  <c r="A521" i="17"/>
  <c r="A520" i="17"/>
  <c r="A519" i="17"/>
  <c r="A518" i="17"/>
  <c r="A517" i="17"/>
  <c r="A516" i="17"/>
  <c r="A515" i="17"/>
  <c r="A514" i="17"/>
  <c r="A513" i="17"/>
  <c r="A512" i="17"/>
  <c r="A511" i="17"/>
  <c r="A510" i="17"/>
  <c r="A509" i="17"/>
  <c r="A508" i="17"/>
  <c r="A507" i="17"/>
  <c r="A506" i="17"/>
  <c r="A505" i="17"/>
  <c r="A504" i="17"/>
  <c r="A503" i="17"/>
  <c r="A502" i="17"/>
  <c r="A501" i="17"/>
  <c r="A500" i="17"/>
  <c r="A499" i="17"/>
  <c r="A498" i="17"/>
  <c r="A497" i="17"/>
  <c r="A496" i="17"/>
  <c r="A495" i="17"/>
  <c r="A494" i="17"/>
  <c r="A493" i="17"/>
  <c r="A492" i="17"/>
  <c r="A491" i="17"/>
  <c r="A490" i="17"/>
  <c r="A489" i="17"/>
  <c r="A488" i="17"/>
  <c r="A487" i="17"/>
  <c r="A486" i="17"/>
  <c r="A485" i="17"/>
  <c r="A484" i="17"/>
  <c r="A483" i="17"/>
  <c r="A482" i="17"/>
  <c r="A481" i="17"/>
  <c r="A480" i="17"/>
  <c r="A479" i="17"/>
  <c r="A478" i="17"/>
  <c r="A477" i="17"/>
  <c r="A476" i="17"/>
  <c r="A475" i="17"/>
  <c r="A474" i="17"/>
  <c r="A473" i="17"/>
  <c r="A472" i="17"/>
  <c r="A471" i="17"/>
  <c r="A470" i="17"/>
  <c r="A469" i="17"/>
  <c r="A468" i="17"/>
  <c r="A467" i="17"/>
  <c r="A466" i="17"/>
  <c r="A465" i="17"/>
  <c r="A464" i="17"/>
  <c r="A463" i="17"/>
  <c r="A462" i="17"/>
  <c r="A461" i="17"/>
  <c r="A460" i="17"/>
  <c r="A459" i="17"/>
  <c r="A458" i="17"/>
  <c r="A457" i="17"/>
  <c r="A456" i="17"/>
  <c r="A455" i="17"/>
  <c r="A454" i="17"/>
  <c r="A453" i="17"/>
  <c r="A452" i="17"/>
  <c r="A451" i="17"/>
  <c r="A450" i="17"/>
  <c r="A449" i="17"/>
  <c r="A448" i="17"/>
  <c r="A447" i="17"/>
  <c r="A446" i="17"/>
  <c r="A445" i="17"/>
  <c r="A444" i="17"/>
  <c r="A443" i="17"/>
  <c r="A442" i="17"/>
  <c r="A441" i="17"/>
  <c r="A440" i="17"/>
  <c r="A439" i="17"/>
  <c r="A438" i="17"/>
  <c r="A437" i="17"/>
  <c r="A436" i="17"/>
  <c r="A435" i="17"/>
  <c r="A434" i="17"/>
  <c r="A433" i="17"/>
  <c r="A432" i="17"/>
  <c r="A431" i="17"/>
  <c r="A430" i="17"/>
  <c r="A429" i="17"/>
  <c r="A428" i="17"/>
  <c r="A427" i="17"/>
  <c r="A426" i="17"/>
  <c r="A425" i="17"/>
  <c r="A424" i="17"/>
  <c r="A423" i="17"/>
  <c r="A422" i="17"/>
  <c r="A421" i="17"/>
  <c r="A420" i="17"/>
  <c r="A419" i="17"/>
  <c r="A418" i="17"/>
  <c r="A417" i="17"/>
  <c r="A416" i="17"/>
  <c r="A415" i="17"/>
  <c r="A414" i="17"/>
  <c r="A413" i="17"/>
  <c r="A412" i="17"/>
  <c r="A411" i="17"/>
  <c r="A410" i="17"/>
  <c r="A409" i="17"/>
  <c r="A408" i="17"/>
  <c r="A407" i="17"/>
  <c r="A406" i="17"/>
  <c r="A405" i="17"/>
  <c r="A404" i="17"/>
  <c r="A403" i="17"/>
  <c r="A402" i="17"/>
  <c r="A401" i="17"/>
  <c r="A400" i="17"/>
  <c r="A399" i="17"/>
  <c r="A398" i="17"/>
  <c r="A397" i="17"/>
  <c r="A396" i="17"/>
  <c r="A395" i="17"/>
  <c r="A394" i="17"/>
  <c r="A393" i="17"/>
  <c r="A392" i="17"/>
  <c r="A391" i="17"/>
  <c r="A390" i="17"/>
  <c r="A389" i="17"/>
  <c r="A388" i="17"/>
  <c r="A387" i="17"/>
  <c r="A386" i="17"/>
  <c r="A385" i="17"/>
  <c r="A384" i="17"/>
  <c r="A383" i="17"/>
  <c r="A382" i="17"/>
  <c r="A381" i="17"/>
  <c r="A380" i="17"/>
  <c r="A379" i="17"/>
  <c r="A378" i="17"/>
  <c r="A377" i="17"/>
  <c r="A376" i="17"/>
  <c r="A375" i="17"/>
  <c r="A374" i="17"/>
  <c r="A373" i="17"/>
  <c r="A372" i="17"/>
  <c r="A371" i="17"/>
  <c r="A370" i="17"/>
  <c r="A369" i="17"/>
  <c r="A368" i="17"/>
  <c r="A367" i="17"/>
  <c r="A366" i="17"/>
  <c r="A365" i="17"/>
  <c r="A364" i="17"/>
  <c r="A363" i="17"/>
  <c r="A362" i="17"/>
  <c r="A361" i="17"/>
  <c r="A360" i="17"/>
  <c r="A359" i="17"/>
  <c r="A358" i="17"/>
  <c r="A357" i="17"/>
  <c r="A356" i="17"/>
  <c r="A355" i="17"/>
  <c r="A354" i="17"/>
  <c r="A353" i="17"/>
  <c r="A352" i="17"/>
  <c r="A351" i="17"/>
  <c r="A350" i="17"/>
  <c r="A349" i="17"/>
  <c r="A348" i="17"/>
  <c r="A347" i="17"/>
  <c r="A346" i="17"/>
  <c r="A345" i="17"/>
  <c r="A344" i="17"/>
  <c r="A343" i="17"/>
  <c r="A342" i="17"/>
  <c r="A341" i="17"/>
  <c r="A340" i="17"/>
  <c r="A339" i="17"/>
  <c r="A338" i="17"/>
  <c r="A337" i="17"/>
  <c r="A336" i="17"/>
  <c r="A335" i="17"/>
  <c r="A334" i="17"/>
  <c r="A333" i="17"/>
  <c r="A332" i="17"/>
  <c r="A331" i="17"/>
  <c r="A330" i="17"/>
  <c r="A329" i="17"/>
  <c r="A328" i="17"/>
  <c r="A327" i="17"/>
  <c r="A326" i="17"/>
  <c r="A325" i="17"/>
  <c r="A324" i="17"/>
  <c r="A323" i="17"/>
  <c r="A322" i="17"/>
  <c r="A321" i="17"/>
  <c r="A320" i="17"/>
  <c r="A319" i="17"/>
  <c r="A318" i="17"/>
  <c r="A317" i="17"/>
  <c r="A316" i="17"/>
  <c r="A315" i="17"/>
  <c r="A314" i="17"/>
  <c r="A313" i="17"/>
  <c r="A312" i="17"/>
  <c r="A311" i="17"/>
  <c r="A310" i="17"/>
  <c r="A309"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I178" i="17"/>
  <c r="I578" i="17" s="1"/>
  <c r="I579" i="17" s="1"/>
  <c r="E732" i="17" s="1"/>
  <c r="C738" i="17" s="1"/>
  <c r="H178" i="17"/>
  <c r="H578" i="17" s="1"/>
  <c r="H579" i="17" s="1"/>
  <c r="E926" i="17" s="1"/>
  <c r="C930" i="17" s="1"/>
  <c r="G178" i="17"/>
  <c r="G578" i="17" s="1"/>
  <c r="G579" i="17" s="1"/>
  <c r="F178" i="17"/>
  <c r="F578" i="17" s="1"/>
  <c r="F579" i="17" s="1"/>
  <c r="E178" i="17"/>
  <c r="E578" i="17" s="1"/>
  <c r="E579" i="17" s="1"/>
  <c r="D178" i="17"/>
  <c r="D578" i="17" s="1"/>
  <c r="D579" i="17" s="1"/>
  <c r="C170" i="17"/>
  <c r="C169" i="17"/>
  <c r="H146" i="17"/>
  <c r="G146" i="17"/>
  <c r="I146" i="17" s="1"/>
  <c r="G147" i="17" s="1"/>
  <c r="G144" i="17"/>
  <c r="B138" i="17"/>
  <c r="H119" i="17"/>
  <c r="G119" i="17"/>
  <c r="G117" i="17"/>
  <c r="B110" i="17"/>
  <c r="H91" i="17"/>
  <c r="G91" i="17"/>
  <c r="G89" i="17"/>
  <c r="B83" i="17"/>
  <c r="H64" i="17"/>
  <c r="G64" i="17"/>
  <c r="G62" i="17"/>
  <c r="B56" i="17"/>
  <c r="H38" i="17"/>
  <c r="G38" i="17"/>
  <c r="G36" i="17"/>
  <c r="B30" i="17"/>
  <c r="G21" i="17"/>
  <c r="G9" i="17"/>
  <c r="C3" i="17"/>
  <c r="C5" i="17" s="1"/>
  <c r="B3" i="17"/>
  <c r="H139" i="18"/>
  <c r="H137" i="18"/>
  <c r="J131" i="18"/>
  <c r="J130" i="18"/>
  <c r="J128" i="18"/>
  <c r="K127" i="18"/>
  <c r="J127" i="18"/>
  <c r="J125" i="18"/>
  <c r="J124" i="18"/>
  <c r="J122" i="18"/>
  <c r="J118" i="18"/>
  <c r="J116" i="18"/>
  <c r="D1078" i="17"/>
  <c r="E866" i="17"/>
  <c r="C872" i="17" s="1"/>
  <c r="C1061" i="17" s="1"/>
  <c r="D549" i="17"/>
  <c r="K179" i="17"/>
  <c r="C477" i="17" s="1"/>
  <c r="J179" i="17"/>
  <c r="I179" i="17"/>
  <c r="F179" i="17"/>
  <c r="E417" i="17" s="1"/>
  <c r="C422" i="17" s="1"/>
  <c r="E179" i="17"/>
  <c r="E245" i="17" s="1"/>
  <c r="C250" i="17" s="1"/>
  <c r="G557" i="17"/>
  <c r="I119" i="17"/>
  <c r="G120" i="17" s="1"/>
  <c r="D179" i="17" l="1"/>
  <c r="E189" i="17" s="1"/>
  <c r="C193" i="17" s="1"/>
  <c r="K123" i="18"/>
  <c r="I132" i="18"/>
  <c r="H136" i="18"/>
  <c r="K118" i="18"/>
  <c r="J129" i="18"/>
  <c r="K126" i="18"/>
  <c r="K124" i="18"/>
  <c r="K130" i="18"/>
  <c r="K129" i="18"/>
  <c r="K122" i="18"/>
  <c r="K132" i="18" s="1"/>
  <c r="F132" i="18"/>
  <c r="G132" i="18"/>
  <c r="G142" i="18"/>
  <c r="I64" i="17"/>
  <c r="G65" i="17" s="1"/>
  <c r="G179" i="17"/>
  <c r="E309" i="17" s="1"/>
  <c r="C313" i="17" s="1"/>
  <c r="H179" i="17"/>
  <c r="E364" i="17" s="1"/>
  <c r="C368" i="17" s="1"/>
  <c r="I38" i="17"/>
  <c r="G39" i="17" s="1"/>
  <c r="I91" i="17"/>
  <c r="G92" i="17" s="1"/>
  <c r="B5" i="17"/>
  <c r="I119" i="18"/>
  <c r="H138" i="18"/>
  <c r="H142" i="18" s="1"/>
  <c r="K119" i="18"/>
  <c r="I140" i="18"/>
  <c r="J140" i="18" s="1"/>
  <c r="G11" i="17"/>
  <c r="H11" i="17"/>
  <c r="E981" i="17"/>
  <c r="E990" i="17"/>
  <c r="E986" i="17"/>
  <c r="C536" i="17"/>
  <c r="E483" i="17"/>
  <c r="C492" i="17" s="1"/>
  <c r="F517" i="17" s="1"/>
  <c r="D503" i="17"/>
  <c r="C504" i="17" s="1"/>
  <c r="F518" i="17" s="1"/>
  <c r="G536" i="17" s="1"/>
  <c r="D512" i="17"/>
  <c r="C513" i="17" s="1"/>
  <c r="F519" i="17" s="1"/>
  <c r="D536" i="17" s="1"/>
  <c r="E797" i="17"/>
  <c r="E792" i="17"/>
  <c r="E801" i="17"/>
  <c r="J119" i="18"/>
  <c r="E199" i="17"/>
  <c r="C208" i="17" s="1"/>
  <c r="F231" i="17" s="1"/>
  <c r="D219" i="17"/>
  <c r="C220" i="17" s="1"/>
  <c r="F232" i="17" s="1"/>
  <c r="G531" i="17" s="1"/>
  <c r="D226" i="17"/>
  <c r="C227" i="17" s="1"/>
  <c r="F233" i="17" s="1"/>
  <c r="D531" i="17" s="1"/>
  <c r="C531" i="17"/>
  <c r="C532" i="17"/>
  <c r="E256" i="17"/>
  <c r="C265" i="17" s="1"/>
  <c r="D276" i="17"/>
  <c r="C277" i="17" s="1"/>
  <c r="F294" i="17" s="1"/>
  <c r="G532" i="17" s="1"/>
  <c r="D282" i="17"/>
  <c r="C283" i="17" s="1"/>
  <c r="F295" i="17" s="1"/>
  <c r="D532" i="17" s="1"/>
  <c r="C535" i="17"/>
  <c r="E428" i="17"/>
  <c r="C437" i="17" s="1"/>
  <c r="F459" i="17" s="1"/>
  <c r="D448" i="17"/>
  <c r="C449" i="17" s="1"/>
  <c r="F460" i="17" s="1"/>
  <c r="G535" i="17" s="1"/>
  <c r="D454" i="17"/>
  <c r="C455" i="17" s="1"/>
  <c r="F461" i="17" s="1"/>
  <c r="D535" i="17" s="1"/>
  <c r="C1062" i="17"/>
  <c r="E935" i="17"/>
  <c r="C942" i="17" s="1"/>
  <c r="E666" i="17"/>
  <c r="E661" i="17"/>
  <c r="E670" i="17"/>
  <c r="C1059" i="17"/>
  <c r="E744" i="17"/>
  <c r="C753" i="17" s="1"/>
  <c r="J132" i="18"/>
  <c r="E373" i="17"/>
  <c r="C380" i="17" s="1"/>
  <c r="F402" i="17" s="1"/>
  <c r="D391" i="17"/>
  <c r="C392" i="17" s="1"/>
  <c r="F403" i="17" s="1"/>
  <c r="G534" i="17" s="1"/>
  <c r="D397" i="17"/>
  <c r="C398" i="17" s="1"/>
  <c r="F404" i="17" s="1"/>
  <c r="D534" i="17" s="1"/>
  <c r="C534" i="17"/>
  <c r="C533" i="17"/>
  <c r="E319" i="17"/>
  <c r="C328" i="17" s="1"/>
  <c r="F351" i="17" s="1"/>
  <c r="D346" i="17"/>
  <c r="C347" i="17" s="1"/>
  <c r="F353" i="17" s="1"/>
  <c r="D533" i="17" s="1"/>
  <c r="D339" i="17"/>
  <c r="C340" i="17" s="1"/>
  <c r="E590" i="17"/>
  <c r="E599" i="17"/>
  <c r="E595" i="17"/>
  <c r="F14" i="17"/>
  <c r="F142" i="18"/>
  <c r="F119" i="18"/>
  <c r="E878" i="17"/>
  <c r="G119" i="18"/>
  <c r="G15" i="17"/>
  <c r="B6" i="17"/>
  <c r="F1074" i="17"/>
  <c r="D1096" i="17" s="1"/>
  <c r="F463" i="17" l="1"/>
  <c r="F535" i="17" s="1"/>
  <c r="I138" i="18"/>
  <c r="J138" i="18" s="1"/>
  <c r="I141" i="18"/>
  <c r="J141" i="18" s="1"/>
  <c r="E195" i="18"/>
  <c r="I136" i="18"/>
  <c r="J136" i="18" s="1"/>
  <c r="I139" i="18"/>
  <c r="J139" i="18" s="1"/>
  <c r="I135" i="18"/>
  <c r="C14" i="18"/>
  <c r="I137" i="18"/>
  <c r="J137" i="18" s="1"/>
  <c r="I11" i="17"/>
  <c r="D764" i="17"/>
  <c r="C765" i="17" s="1"/>
  <c r="F779" i="17" s="1"/>
  <c r="F1059" i="17" s="1"/>
  <c r="F778" i="17"/>
  <c r="D773" i="17"/>
  <c r="C774" i="17" s="1"/>
  <c r="F780" i="17" s="1"/>
  <c r="D1059" i="17" s="1"/>
  <c r="F235" i="17"/>
  <c r="F531" i="17" s="1"/>
  <c r="I531" i="17" s="1"/>
  <c r="J531" i="17" s="1"/>
  <c r="F521" i="17"/>
  <c r="F536" i="17" s="1"/>
  <c r="D953" i="17"/>
  <c r="C954" i="17" s="1"/>
  <c r="F965" i="17" s="1"/>
  <c r="F1062" i="17" s="1"/>
  <c r="D959" i="17"/>
  <c r="C960" i="17" s="1"/>
  <c r="F966" i="17" s="1"/>
  <c r="D1062" i="17" s="1"/>
  <c r="F964" i="17"/>
  <c r="H531" i="17"/>
  <c r="E200" i="17"/>
  <c r="C607" i="17"/>
  <c r="C603" i="17"/>
  <c r="C611" i="17" s="1"/>
  <c r="H536" i="17"/>
  <c r="I536" i="17" s="1"/>
  <c r="J536" i="17" s="1"/>
  <c r="E484" i="17"/>
  <c r="E429" i="17"/>
  <c r="H535" i="17"/>
  <c r="E745" i="17"/>
  <c r="G1059" i="17"/>
  <c r="G1061" i="17"/>
  <c r="E879" i="17"/>
  <c r="C678" i="17"/>
  <c r="C674" i="17"/>
  <c r="C682" i="17" s="1"/>
  <c r="G533" i="17"/>
  <c r="G537" i="17" s="1"/>
  <c r="F352" i="17"/>
  <c r="F355" i="17" s="1"/>
  <c r="F533" i="17" s="1"/>
  <c r="F406" i="17"/>
  <c r="F534" i="17" s="1"/>
  <c r="F293" i="17"/>
  <c r="F298" i="17" s="1"/>
  <c r="F532" i="17" s="1"/>
  <c r="D288" i="17"/>
  <c r="C289" i="17" s="1"/>
  <c r="F296" i="17" s="1"/>
  <c r="E532" i="17" s="1"/>
  <c r="E537" i="17" s="1"/>
  <c r="C998" i="17"/>
  <c r="C994" i="17"/>
  <c r="C1002" i="17" s="1"/>
  <c r="H533" i="17"/>
  <c r="E320" i="17"/>
  <c r="H534" i="17"/>
  <c r="E374" i="17"/>
  <c r="E257" i="17"/>
  <c r="H532" i="17"/>
  <c r="C887" i="17"/>
  <c r="D537" i="17"/>
  <c r="G1062" i="17"/>
  <c r="E936" i="17"/>
  <c r="C537" i="17"/>
  <c r="C805" i="17"/>
  <c r="C809" i="17"/>
  <c r="C813" i="17" s="1"/>
  <c r="I142" i="18" l="1"/>
  <c r="J135" i="18"/>
  <c r="J142" i="18" s="1"/>
  <c r="I532" i="17"/>
  <c r="J532" i="17" s="1"/>
  <c r="I534" i="17"/>
  <c r="J534" i="17" s="1"/>
  <c r="I533" i="17"/>
  <c r="J533" i="17" s="1"/>
  <c r="I535" i="17"/>
  <c r="J535" i="17" s="1"/>
  <c r="B195" i="18"/>
  <c r="C1063" i="17"/>
  <c r="E1008" i="17"/>
  <c r="C1017" i="17" s="1"/>
  <c r="C1057" i="17"/>
  <c r="E617" i="17"/>
  <c r="C624" i="17" s="1"/>
  <c r="F537" i="17"/>
  <c r="H537" i="17"/>
  <c r="F968" i="17"/>
  <c r="E1062" i="17" s="1"/>
  <c r="H1062" i="17" s="1"/>
  <c r="I1062" i="17" s="1"/>
  <c r="E688" i="17"/>
  <c r="C695" i="17" s="1"/>
  <c r="C1058" i="17"/>
  <c r="F782" i="17"/>
  <c r="E1059" i="17" s="1"/>
  <c r="H1059" i="17" s="1"/>
  <c r="I1059" i="17" s="1"/>
  <c r="F912" i="17"/>
  <c r="D898" i="17"/>
  <c r="C899" i="17" s="1"/>
  <c r="F913" i="17" s="1"/>
  <c r="F1061" i="17" s="1"/>
  <c r="D907" i="17"/>
  <c r="C908" i="17" s="1"/>
  <c r="F914" i="17" s="1"/>
  <c r="D1061" i="17" s="1"/>
  <c r="C1060" i="17"/>
  <c r="E819" i="17"/>
  <c r="I537" i="17" l="1"/>
  <c r="J537" i="17" s="1"/>
  <c r="G1060" i="17"/>
  <c r="E820" i="17"/>
  <c r="G1057" i="17"/>
  <c r="E618" i="17"/>
  <c r="D1028" i="17"/>
  <c r="C1029" i="17" s="1"/>
  <c r="F1043" i="17" s="1"/>
  <c r="F1063" i="17" s="1"/>
  <c r="F1042" i="17"/>
  <c r="D1037" i="17"/>
  <c r="C1038" i="17" s="1"/>
  <c r="F1044" i="17" s="1"/>
  <c r="D1063" i="17" s="1"/>
  <c r="F647" i="17"/>
  <c r="D642" i="17"/>
  <c r="C643" i="17" s="1"/>
  <c r="D635" i="17"/>
  <c r="C636" i="17" s="1"/>
  <c r="F648" i="17" s="1"/>
  <c r="F1057" i="17" s="1"/>
  <c r="C1064" i="17"/>
  <c r="F718" i="17"/>
  <c r="D706" i="17"/>
  <c r="C707" i="17" s="1"/>
  <c r="F719" i="17" s="1"/>
  <c r="F1058" i="17" s="1"/>
  <c r="D713" i="17"/>
  <c r="C714" i="17" s="1"/>
  <c r="F720" i="17" s="1"/>
  <c r="D1058" i="17" s="1"/>
  <c r="G1063" i="17"/>
  <c r="E1009" i="17"/>
  <c r="C828" i="17"/>
  <c r="F916" i="17"/>
  <c r="E1061" i="17" s="1"/>
  <c r="H1061" i="17" s="1"/>
  <c r="I1061" i="17" s="1"/>
  <c r="E689" i="17"/>
  <c r="G1058" i="17"/>
  <c r="F1046" i="17" l="1"/>
  <c r="E1063" i="17" s="1"/>
  <c r="H1063" i="17" s="1"/>
  <c r="I1063" i="17" s="1"/>
  <c r="G1064" i="17"/>
  <c r="F649" i="17"/>
  <c r="F651" i="17" s="1"/>
  <c r="E1057" i="17" s="1"/>
  <c r="D1057" i="17"/>
  <c r="F853" i="17"/>
  <c r="D839" i="17"/>
  <c r="C840" i="17" s="1"/>
  <c r="F854" i="17" s="1"/>
  <c r="F1060" i="17" s="1"/>
  <c r="F1064" i="17" s="1"/>
  <c r="D848" i="17"/>
  <c r="C849" i="17" s="1"/>
  <c r="F855" i="17" s="1"/>
  <c r="D1060" i="17" s="1"/>
  <c r="F722" i="17"/>
  <c r="E1058" i="17" s="1"/>
  <c r="H1058" i="17" s="1"/>
  <c r="I1058" i="17" s="1"/>
  <c r="F857" i="17" l="1"/>
  <c r="E1060" i="17" s="1"/>
  <c r="E1064" i="17" s="1"/>
  <c r="D1064" i="17"/>
  <c r="H1057" i="17"/>
  <c r="I1057" i="17" l="1"/>
  <c r="H1060" i="17"/>
  <c r="I1060" i="17" s="1"/>
  <c r="H1064" i="17" l="1"/>
  <c r="F1079" i="17" l="1"/>
  <c r="F1080" i="17" s="1"/>
  <c r="F1081" i="17" s="1"/>
  <c r="F1083" i="17" s="1"/>
  <c r="I1064" i="17"/>
  <c r="N18" i="7" l="1"/>
  <c r="BH7" i="2" l="1"/>
  <c r="BG6" i="2"/>
  <c r="BH5" i="2"/>
  <c r="BG4" i="2"/>
  <c r="BP4" i="2" s="1"/>
  <c r="AW32" i="2"/>
  <c r="AW31" i="2"/>
  <c r="AW30" i="2"/>
  <c r="AW29" i="2"/>
  <c r="AW28" i="2"/>
  <c r="AW27" i="2"/>
  <c r="AW26" i="2"/>
  <c r="AW25" i="2"/>
  <c r="AW24" i="2"/>
  <c r="AW23" i="2"/>
  <c r="AW21" i="2"/>
  <c r="AW22" i="2" s="1"/>
  <c r="AW19" i="2"/>
  <c r="AW18" i="2"/>
  <c r="AW17" i="2"/>
  <c r="AW16" i="2"/>
  <c r="AW15" i="2"/>
  <c r="AW14" i="2"/>
  <c r="AV26" i="2"/>
  <c r="AV32" i="2"/>
  <c r="AV31" i="2"/>
  <c r="AV30" i="2"/>
  <c r="AV29" i="2"/>
  <c r="AV28" i="2"/>
  <c r="AV27" i="2"/>
  <c r="AV25" i="2"/>
  <c r="AV24" i="2"/>
  <c r="AV23" i="2"/>
  <c r="AV21" i="2"/>
  <c r="AV22" i="2" s="1"/>
  <c r="AV19" i="2"/>
  <c r="AV18" i="2"/>
  <c r="AV17" i="2"/>
  <c r="AV16" i="2"/>
  <c r="AV15" i="2"/>
  <c r="AV14" i="2"/>
  <c r="AU32" i="2"/>
  <c r="AU31" i="2"/>
  <c r="AU30" i="2"/>
  <c r="AU29" i="2"/>
  <c r="AU28" i="2"/>
  <c r="AU27" i="2"/>
  <c r="AU26" i="2"/>
  <c r="AU25" i="2"/>
  <c r="AU24" i="2"/>
  <c r="AU23" i="2"/>
  <c r="AU21" i="2"/>
  <c r="AU22" i="2" s="1"/>
  <c r="AU19" i="2"/>
  <c r="AU18" i="2"/>
  <c r="AU17" i="2"/>
  <c r="AU16" i="2"/>
  <c r="AU15" i="2"/>
  <c r="AU14" i="2"/>
  <c r="AU7" i="2"/>
  <c r="AS29" i="2"/>
  <c r="AS32" i="2"/>
  <c r="AS31" i="2"/>
  <c r="AS30" i="2"/>
  <c r="AS28" i="2"/>
  <c r="AS27" i="2"/>
  <c r="AS26" i="2"/>
  <c r="AS25" i="2"/>
  <c r="AS24" i="2"/>
  <c r="AS23" i="2"/>
  <c r="AS21" i="2"/>
  <c r="AS19" i="2"/>
  <c r="AS18" i="2"/>
  <c r="AS17" i="2"/>
  <c r="AS16" i="2"/>
  <c r="AS15" i="2"/>
  <c r="AS14" i="2"/>
  <c r="AR32" i="2"/>
  <c r="AR31" i="2"/>
  <c r="AR30" i="2"/>
  <c r="AR29" i="2"/>
  <c r="AR28" i="2"/>
  <c r="AR27" i="2"/>
  <c r="AR26" i="2"/>
  <c r="AT26" i="2" s="1"/>
  <c r="AR25" i="2"/>
  <c r="AR24" i="2"/>
  <c r="AR23" i="2"/>
  <c r="AR21" i="2"/>
  <c r="AR19" i="2"/>
  <c r="AR18" i="2"/>
  <c r="AR17" i="2"/>
  <c r="AR16" i="2"/>
  <c r="AR15" i="2"/>
  <c r="AR14" i="2"/>
  <c r="AQ32" i="2"/>
  <c r="AQ31" i="2"/>
  <c r="AQ30" i="2"/>
  <c r="AQ29" i="2"/>
  <c r="AQ28" i="2"/>
  <c r="AQ27" i="2"/>
  <c r="AQ26" i="2"/>
  <c r="AQ25" i="2"/>
  <c r="AQ24" i="2"/>
  <c r="AQ23" i="2"/>
  <c r="AQ21" i="2"/>
  <c r="AQ22" i="2" s="1"/>
  <c r="AQ19" i="2"/>
  <c r="AQ18" i="2"/>
  <c r="AQ17" i="2"/>
  <c r="AQ16" i="2"/>
  <c r="AQ15" i="2"/>
  <c r="AQ14" i="2"/>
  <c r="AP28" i="2"/>
  <c r="AZ28" i="2" s="1"/>
  <c r="AP32" i="2"/>
  <c r="AZ32" i="2" s="1"/>
  <c r="AP31" i="2"/>
  <c r="AY31" i="2" s="1"/>
  <c r="AP30" i="2"/>
  <c r="AZ30" i="2" s="1"/>
  <c r="AP29" i="2"/>
  <c r="AZ29" i="2" s="1"/>
  <c r="AP27" i="2"/>
  <c r="AZ27" i="2" s="1"/>
  <c r="AP26" i="2"/>
  <c r="AP25" i="2"/>
  <c r="AP24" i="2"/>
  <c r="AY24" i="2" s="1"/>
  <c r="AP23" i="2"/>
  <c r="AP21" i="2"/>
  <c r="AP19" i="2"/>
  <c r="AP18" i="2"/>
  <c r="AP17" i="2"/>
  <c r="AY17" i="2" s="1"/>
  <c r="AP16" i="2"/>
  <c r="AP15" i="2"/>
  <c r="AZ15" i="2" s="1"/>
  <c r="AP14" i="2"/>
  <c r="AW12" i="2"/>
  <c r="AV12" i="2"/>
  <c r="AU12" i="2"/>
  <c r="AS12" i="2"/>
  <c r="AQ12" i="2"/>
  <c r="AP12" i="2"/>
  <c r="AZ12" i="2" s="1"/>
  <c r="AW5" i="2"/>
  <c r="AW6" i="2"/>
  <c r="AW7" i="2"/>
  <c r="AW8" i="2"/>
  <c r="AW9" i="2"/>
  <c r="AW10" i="2"/>
  <c r="AW11" i="2"/>
  <c r="AV5" i="2"/>
  <c r="AV6" i="2"/>
  <c r="AV7" i="2"/>
  <c r="AV8" i="2"/>
  <c r="AV9" i="2"/>
  <c r="AV10" i="2"/>
  <c r="AV11" i="2"/>
  <c r="AU5" i="2"/>
  <c r="AU6" i="2"/>
  <c r="AU8" i="2"/>
  <c r="AU9" i="2"/>
  <c r="AU10" i="2"/>
  <c r="AU11" i="2"/>
  <c r="AS5" i="2"/>
  <c r="AS6" i="2"/>
  <c r="AS7" i="2"/>
  <c r="AS8" i="2"/>
  <c r="AS9" i="2"/>
  <c r="AS10" i="2"/>
  <c r="AS11" i="2"/>
  <c r="AR5" i="2"/>
  <c r="AR6" i="2"/>
  <c r="AR7" i="2"/>
  <c r="AR8" i="2"/>
  <c r="AR9" i="2"/>
  <c r="AR10" i="2"/>
  <c r="AR11" i="2"/>
  <c r="AR12" i="2"/>
  <c r="AQ5" i="2"/>
  <c r="AQ6" i="2"/>
  <c r="AQ7" i="2"/>
  <c r="AQ8" i="2"/>
  <c r="AQ9" i="2"/>
  <c r="AQ10" i="2"/>
  <c r="AQ11" i="2"/>
  <c r="AP5" i="2"/>
  <c r="AZ5" i="2" s="1"/>
  <c r="AP6" i="2"/>
  <c r="AZ6" i="2" s="1"/>
  <c r="AP7" i="2"/>
  <c r="AZ7" i="2" s="1"/>
  <c r="AP8" i="2"/>
  <c r="AZ8" i="2" s="1"/>
  <c r="AP9" i="2"/>
  <c r="AY9" i="2" s="1"/>
  <c r="AP10" i="2"/>
  <c r="AZ10" i="2" s="1"/>
  <c r="AP11" i="2"/>
  <c r="AP4" i="2"/>
  <c r="AW4" i="2"/>
  <c r="AV4" i="2"/>
  <c r="AU4" i="2"/>
  <c r="AS4" i="2"/>
  <c r="AR4" i="2"/>
  <c r="AQ4" i="2"/>
  <c r="C6" i="1"/>
  <c r="B4" i="10"/>
  <c r="B5" i="10" s="1"/>
  <c r="B6" i="10" s="1"/>
  <c r="N5" i="7"/>
  <c r="N4" i="2"/>
  <c r="R4" i="2" s="1"/>
  <c r="N5" i="2"/>
  <c r="N6" i="2"/>
  <c r="I20" i="14"/>
  <c r="H20" i="14"/>
  <c r="G20" i="14"/>
  <c r="F20" i="14"/>
  <c r="E20" i="14"/>
  <c r="D20" i="14"/>
  <c r="C20" i="14"/>
  <c r="J19" i="14"/>
  <c r="J18" i="14"/>
  <c r="J17" i="14"/>
  <c r="J16" i="14"/>
  <c r="J15" i="14"/>
  <c r="J14" i="14"/>
  <c r="J13" i="14"/>
  <c r="J12" i="14"/>
  <c r="J11" i="14"/>
  <c r="J10" i="14"/>
  <c r="J9" i="14"/>
  <c r="J8" i="14"/>
  <c r="J7" i="14"/>
  <c r="J6" i="14"/>
  <c r="J5" i="14"/>
  <c r="J20" i="14" s="1"/>
  <c r="H4" i="2"/>
  <c r="BG146" i="2"/>
  <c r="B67" i="18" s="1"/>
  <c r="D67" i="18" s="1"/>
  <c r="N31" i="7"/>
  <c r="N29" i="7"/>
  <c r="M30" i="7"/>
  <c r="M34" i="7"/>
  <c r="AW168" i="2"/>
  <c r="AV168" i="2"/>
  <c r="AU168" i="2"/>
  <c r="AW167" i="2"/>
  <c r="AV167" i="2"/>
  <c r="AU167" i="2"/>
  <c r="AW166" i="2"/>
  <c r="AV166" i="2"/>
  <c r="AU166" i="2"/>
  <c r="AW165" i="2"/>
  <c r="AV165" i="2"/>
  <c r="AU165" i="2"/>
  <c r="AW164" i="2"/>
  <c r="AV164" i="2"/>
  <c r="AU164" i="2"/>
  <c r="AW163" i="2"/>
  <c r="AV163" i="2"/>
  <c r="AU163" i="2"/>
  <c r="AW162" i="2"/>
  <c r="AV162" i="2"/>
  <c r="AU162" i="2"/>
  <c r="AW161" i="2"/>
  <c r="AV161" i="2"/>
  <c r="AU161" i="2"/>
  <c r="AW160" i="2"/>
  <c r="AV160" i="2"/>
  <c r="AU160" i="2"/>
  <c r="AW159" i="2"/>
  <c r="AV159" i="2"/>
  <c r="AU159" i="2"/>
  <c r="AW157" i="2"/>
  <c r="AW158" i="2" s="1"/>
  <c r="AV157" i="2"/>
  <c r="AV158" i="2" s="1"/>
  <c r="AU157" i="2"/>
  <c r="AU158" i="2" s="1"/>
  <c r="AW155" i="2"/>
  <c r="AV155" i="2"/>
  <c r="AU155" i="2"/>
  <c r="AW154" i="2"/>
  <c r="AV154" i="2"/>
  <c r="AU154" i="2"/>
  <c r="AW153" i="2"/>
  <c r="AV153" i="2"/>
  <c r="AU153" i="2"/>
  <c r="AW152" i="2"/>
  <c r="AV152" i="2"/>
  <c r="AU152" i="2"/>
  <c r="AW151" i="2"/>
  <c r="AV151" i="2"/>
  <c r="AU151" i="2"/>
  <c r="AW150" i="2"/>
  <c r="AV150" i="2"/>
  <c r="AU150" i="2"/>
  <c r="AW148" i="2"/>
  <c r="AV148" i="2"/>
  <c r="AU148" i="2"/>
  <c r="AW147" i="2"/>
  <c r="AV147" i="2"/>
  <c r="AU147" i="2"/>
  <c r="AW146" i="2"/>
  <c r="AV146" i="2"/>
  <c r="AU146" i="2"/>
  <c r="AW145" i="2"/>
  <c r="AV145" i="2"/>
  <c r="AU145" i="2"/>
  <c r="AW144" i="2"/>
  <c r="AV144" i="2"/>
  <c r="AU144" i="2"/>
  <c r="AW143" i="2"/>
  <c r="AV143" i="2"/>
  <c r="AU143" i="2"/>
  <c r="AW142" i="2"/>
  <c r="AV142" i="2"/>
  <c r="AU142" i="2"/>
  <c r="AW141" i="2"/>
  <c r="AV141" i="2"/>
  <c r="AU141" i="2"/>
  <c r="AW140" i="2"/>
  <c r="AV140" i="2"/>
  <c r="AU140" i="2"/>
  <c r="AS168" i="2"/>
  <c r="AR168" i="2"/>
  <c r="AQ168" i="2"/>
  <c r="AP168" i="2"/>
  <c r="AZ168" i="2" s="1"/>
  <c r="AS167" i="2"/>
  <c r="AR167" i="2"/>
  <c r="AQ167" i="2"/>
  <c r="AP167" i="2"/>
  <c r="AY167" i="2" s="1"/>
  <c r="AS166" i="2"/>
  <c r="AR166" i="2"/>
  <c r="AQ166" i="2"/>
  <c r="AP166" i="2"/>
  <c r="AS165" i="2"/>
  <c r="AR165" i="2"/>
  <c r="AQ165" i="2"/>
  <c r="AP165" i="2"/>
  <c r="AZ165" i="2" s="1"/>
  <c r="AS164" i="2"/>
  <c r="AR164" i="2"/>
  <c r="AQ164" i="2"/>
  <c r="AP164" i="2"/>
  <c r="AZ164" i="2" s="1"/>
  <c r="AS163" i="2"/>
  <c r="AR163" i="2"/>
  <c r="AQ163" i="2"/>
  <c r="AP163" i="2"/>
  <c r="AZ163" i="2" s="1"/>
  <c r="AS162" i="2"/>
  <c r="AR162" i="2"/>
  <c r="AP162" i="2"/>
  <c r="AY162" i="2" s="1"/>
  <c r="AS161" i="2"/>
  <c r="AR161" i="2"/>
  <c r="AQ161" i="2"/>
  <c r="AP161" i="2"/>
  <c r="AZ161" i="2" s="1"/>
  <c r="AS160" i="2"/>
  <c r="AR160" i="2"/>
  <c r="AQ160" i="2"/>
  <c r="AP160" i="2"/>
  <c r="AS159" i="2"/>
  <c r="AR159" i="2"/>
  <c r="AQ159" i="2"/>
  <c r="AP159" i="2"/>
  <c r="AY159" i="2" s="1"/>
  <c r="AS157" i="2"/>
  <c r="AS158" i="2" s="1"/>
  <c r="AR157" i="2"/>
  <c r="AR158" i="2" s="1"/>
  <c r="AQ157" i="2"/>
  <c r="AQ158" i="2" s="1"/>
  <c r="AP157" i="2"/>
  <c r="AY157" i="2" s="1"/>
  <c r="AS155" i="2"/>
  <c r="AR155" i="2"/>
  <c r="AQ155" i="2"/>
  <c r="AP155" i="2"/>
  <c r="AS154" i="2"/>
  <c r="AR154" i="2"/>
  <c r="AQ154" i="2"/>
  <c r="AP154" i="2"/>
  <c r="AZ154" i="2" s="1"/>
  <c r="AS153" i="2"/>
  <c r="AR153" i="2"/>
  <c r="AQ153" i="2"/>
  <c r="AP153" i="2"/>
  <c r="AS152" i="2"/>
  <c r="AR152" i="2"/>
  <c r="AQ152" i="2"/>
  <c r="AP152" i="2"/>
  <c r="AS151" i="2"/>
  <c r="AR151" i="2"/>
  <c r="AQ151" i="2"/>
  <c r="AP151" i="2"/>
  <c r="AZ151" i="2" s="1"/>
  <c r="AS150" i="2"/>
  <c r="AR150" i="2"/>
  <c r="AQ150" i="2"/>
  <c r="AP150" i="2"/>
  <c r="AZ150" i="2" s="1"/>
  <c r="AS148" i="2"/>
  <c r="AR148" i="2"/>
  <c r="AQ148" i="2"/>
  <c r="AP148" i="2"/>
  <c r="AZ148" i="2" s="1"/>
  <c r="AS147" i="2"/>
  <c r="AR147" i="2"/>
  <c r="AQ147" i="2"/>
  <c r="AP147" i="2"/>
  <c r="AY147" i="2" s="1"/>
  <c r="AS146" i="2"/>
  <c r="AR146" i="2"/>
  <c r="AQ146" i="2"/>
  <c r="AP146" i="2"/>
  <c r="AS145" i="2"/>
  <c r="AR145" i="2"/>
  <c r="AQ145" i="2"/>
  <c r="AP145" i="2"/>
  <c r="AZ145" i="2" s="1"/>
  <c r="AS144" i="2"/>
  <c r="AR144" i="2"/>
  <c r="AQ144" i="2"/>
  <c r="AP144" i="2"/>
  <c r="AZ144" i="2" s="1"/>
  <c r="AS143" i="2"/>
  <c r="AR143" i="2"/>
  <c r="AQ143" i="2"/>
  <c r="AP143" i="2"/>
  <c r="AZ143" i="2" s="1"/>
  <c r="AS142" i="2"/>
  <c r="AR142" i="2"/>
  <c r="AQ142" i="2"/>
  <c r="AP142" i="2"/>
  <c r="AZ142" i="2" s="1"/>
  <c r="AS141" i="2"/>
  <c r="AR141" i="2"/>
  <c r="AQ141" i="2"/>
  <c r="AP141" i="2"/>
  <c r="AY141" i="2" s="1"/>
  <c r="AS140" i="2"/>
  <c r="AR140" i="2"/>
  <c r="AQ140" i="2"/>
  <c r="AP140" i="2"/>
  <c r="G4" i="10"/>
  <c r="G5" i="10" s="1"/>
  <c r="G6" i="10" s="1"/>
  <c r="G10" i="10" s="1"/>
  <c r="AJ15" i="7"/>
  <c r="AJ14" i="7"/>
  <c r="AJ13" i="7"/>
  <c r="AJ12" i="7"/>
  <c r="AJ16" i="7"/>
  <c r="AF11" i="7"/>
  <c r="AJ11" i="7"/>
  <c r="AI16" i="7"/>
  <c r="AI15" i="7"/>
  <c r="AI14" i="7"/>
  <c r="AI13" i="7"/>
  <c r="AI12" i="7"/>
  <c r="AI11" i="7"/>
  <c r="AH13" i="7"/>
  <c r="Y33" i="7" s="1"/>
  <c r="AE12" i="7"/>
  <c r="AE16" i="7"/>
  <c r="K33" i="7"/>
  <c r="K30" i="7"/>
  <c r="K34" i="7" s="1"/>
  <c r="O20" i="14"/>
  <c r="V20" i="14"/>
  <c r="R20" i="14"/>
  <c r="Q20" i="14"/>
  <c r="X20" i="14"/>
  <c r="W20" i="14"/>
  <c r="U20" i="14"/>
  <c r="T20" i="14"/>
  <c r="S20" i="14"/>
  <c r="P20" i="14"/>
  <c r="Y19" i="14"/>
  <c r="Y18" i="14"/>
  <c r="Y17" i="14"/>
  <c r="Y16" i="14"/>
  <c r="Y15" i="14"/>
  <c r="Y14" i="14"/>
  <c r="Y13" i="14"/>
  <c r="Y12" i="14"/>
  <c r="Y11" i="14"/>
  <c r="Y10" i="14"/>
  <c r="Y9" i="14"/>
  <c r="Y8" i="14"/>
  <c r="Y7" i="14"/>
  <c r="Y6" i="14"/>
  <c r="Y5" i="14"/>
  <c r="AF16" i="7"/>
  <c r="AG16" i="7"/>
  <c r="AH16" i="7"/>
  <c r="Y36" i="7" s="1"/>
  <c r="AC10" i="7"/>
  <c r="C13" i="4"/>
  <c r="C8" i="4"/>
  <c r="C7" i="4"/>
  <c r="L10" i="1"/>
  <c r="AD9" i="2"/>
  <c r="R6" i="6"/>
  <c r="Q6" i="6"/>
  <c r="Q5" i="6"/>
  <c r="Q7" i="6"/>
  <c r="AD23" i="2"/>
  <c r="AW134" i="2"/>
  <c r="AV134" i="2"/>
  <c r="AU134" i="2"/>
  <c r="AS134" i="2"/>
  <c r="AR134" i="2"/>
  <c r="AQ134" i="2"/>
  <c r="AP134" i="2"/>
  <c r="AZ134" i="2" s="1"/>
  <c r="AW133" i="2"/>
  <c r="AV133" i="2"/>
  <c r="AU133" i="2"/>
  <c r="AS133" i="2"/>
  <c r="AR133" i="2"/>
  <c r="AQ133" i="2"/>
  <c r="AP133" i="2"/>
  <c r="AZ133" i="2" s="1"/>
  <c r="AW132" i="2"/>
  <c r="AV132" i="2"/>
  <c r="AU132" i="2"/>
  <c r="AS132" i="2"/>
  <c r="AR132" i="2"/>
  <c r="AQ132" i="2"/>
  <c r="AP132" i="2"/>
  <c r="AZ132" i="2" s="1"/>
  <c r="AW131" i="2"/>
  <c r="AV131" i="2"/>
  <c r="AU131" i="2"/>
  <c r="AS131" i="2"/>
  <c r="AR131" i="2"/>
  <c r="AQ131" i="2"/>
  <c r="AP131" i="2"/>
  <c r="AZ131" i="2" s="1"/>
  <c r="AW130" i="2"/>
  <c r="AV130" i="2"/>
  <c r="AU130" i="2"/>
  <c r="AS130" i="2"/>
  <c r="AR130" i="2"/>
  <c r="AQ130" i="2"/>
  <c r="AP130" i="2"/>
  <c r="AZ130" i="2" s="1"/>
  <c r="AW129" i="2"/>
  <c r="AV129" i="2"/>
  <c r="AU129" i="2"/>
  <c r="AS129" i="2"/>
  <c r="AR129" i="2"/>
  <c r="AQ129" i="2"/>
  <c r="AP129" i="2"/>
  <c r="AW128" i="2"/>
  <c r="AV128" i="2"/>
  <c r="AU128" i="2"/>
  <c r="AS128" i="2"/>
  <c r="AR128" i="2"/>
  <c r="AQ128" i="2"/>
  <c r="AP128" i="2"/>
  <c r="AZ128" i="2" s="1"/>
  <c r="AW127" i="2"/>
  <c r="AV127" i="2"/>
  <c r="AU127" i="2"/>
  <c r="AS127" i="2"/>
  <c r="AR127" i="2"/>
  <c r="AQ127" i="2"/>
  <c r="AP127" i="2"/>
  <c r="AZ127" i="2" s="1"/>
  <c r="AW126" i="2"/>
  <c r="AV126" i="2"/>
  <c r="AU126" i="2"/>
  <c r="AS126" i="2"/>
  <c r="AR126" i="2"/>
  <c r="AQ126" i="2"/>
  <c r="AP126" i="2"/>
  <c r="AZ126" i="2" s="1"/>
  <c r="AW125" i="2"/>
  <c r="AV125" i="2"/>
  <c r="AU125" i="2"/>
  <c r="AS125" i="2"/>
  <c r="AR125" i="2"/>
  <c r="AQ125" i="2"/>
  <c r="AP125" i="2"/>
  <c r="AZ125" i="2" s="1"/>
  <c r="AW123" i="2"/>
  <c r="AW124" i="2" s="1"/>
  <c r="AV123" i="2"/>
  <c r="AV124" i="2" s="1"/>
  <c r="AU123" i="2"/>
  <c r="AS123" i="2"/>
  <c r="AS124" i="2" s="1"/>
  <c r="AR123" i="2"/>
  <c r="AQ123" i="2"/>
  <c r="AQ124" i="2" s="1"/>
  <c r="AP123" i="2"/>
  <c r="AW121" i="2"/>
  <c r="AV121" i="2"/>
  <c r="AU121" i="2"/>
  <c r="AS121" i="2"/>
  <c r="AR121" i="2"/>
  <c r="AQ121" i="2"/>
  <c r="AP121" i="2"/>
  <c r="AZ121" i="2" s="1"/>
  <c r="AW120" i="2"/>
  <c r="AV120" i="2"/>
  <c r="AU120" i="2"/>
  <c r="AS120" i="2"/>
  <c r="AR120" i="2"/>
  <c r="AQ120" i="2"/>
  <c r="AP120" i="2"/>
  <c r="AZ120" i="2" s="1"/>
  <c r="AW119" i="2"/>
  <c r="AV119" i="2"/>
  <c r="AU119" i="2"/>
  <c r="AS119" i="2"/>
  <c r="AR119" i="2"/>
  <c r="AQ119" i="2"/>
  <c r="AP119" i="2"/>
  <c r="AY119" i="2" s="1"/>
  <c r="AW118" i="2"/>
  <c r="AV118" i="2"/>
  <c r="AU118" i="2"/>
  <c r="AS118" i="2"/>
  <c r="AR118" i="2"/>
  <c r="AQ118" i="2"/>
  <c r="AP118" i="2"/>
  <c r="AZ118" i="2" s="1"/>
  <c r="AW117" i="2"/>
  <c r="AV117" i="2"/>
  <c r="AU117" i="2"/>
  <c r="AS117" i="2"/>
  <c r="AR117" i="2"/>
  <c r="AQ117" i="2"/>
  <c r="AP117" i="2"/>
  <c r="AW116" i="2"/>
  <c r="AV116" i="2"/>
  <c r="AU116" i="2"/>
  <c r="AS116" i="2"/>
  <c r="AR116" i="2"/>
  <c r="AQ116" i="2"/>
  <c r="AP116" i="2"/>
  <c r="AZ116" i="2" s="1"/>
  <c r="AW114" i="2"/>
  <c r="AV114" i="2"/>
  <c r="AU114" i="2"/>
  <c r="AS114" i="2"/>
  <c r="AR114" i="2"/>
  <c r="AQ114" i="2"/>
  <c r="AP114" i="2"/>
  <c r="AZ114" i="2" s="1"/>
  <c r="AW113" i="2"/>
  <c r="AV113" i="2"/>
  <c r="AU113" i="2"/>
  <c r="AS113" i="2"/>
  <c r="AR113" i="2"/>
  <c r="AQ113" i="2"/>
  <c r="AP113" i="2"/>
  <c r="AW112" i="2"/>
  <c r="AV112" i="2"/>
  <c r="AU112" i="2"/>
  <c r="AS112" i="2"/>
  <c r="AR112" i="2"/>
  <c r="AQ112" i="2"/>
  <c r="AP112" i="2"/>
  <c r="AZ112" i="2" s="1"/>
  <c r="AW111" i="2"/>
  <c r="AV111" i="2"/>
  <c r="AU111" i="2"/>
  <c r="AS111" i="2"/>
  <c r="AR111" i="2"/>
  <c r="AQ111" i="2"/>
  <c r="AP111" i="2"/>
  <c r="AZ111" i="2" s="1"/>
  <c r="AW110" i="2"/>
  <c r="AV110" i="2"/>
  <c r="AU110" i="2"/>
  <c r="AS110" i="2"/>
  <c r="AR110" i="2"/>
  <c r="AQ110" i="2"/>
  <c r="AP110" i="2"/>
  <c r="AZ110" i="2" s="1"/>
  <c r="AW109" i="2"/>
  <c r="AV109" i="2"/>
  <c r="AU109" i="2"/>
  <c r="AS109" i="2"/>
  <c r="AR109" i="2"/>
  <c r="AQ109" i="2"/>
  <c r="AP109" i="2"/>
  <c r="AZ109" i="2" s="1"/>
  <c r="AW108" i="2"/>
  <c r="AV108" i="2"/>
  <c r="AU108" i="2"/>
  <c r="AS108" i="2"/>
  <c r="AR108" i="2"/>
  <c r="AQ108" i="2"/>
  <c r="AP108" i="2"/>
  <c r="AZ108" i="2" s="1"/>
  <c r="AW107" i="2"/>
  <c r="AV107" i="2"/>
  <c r="AU107" i="2"/>
  <c r="AS107" i="2"/>
  <c r="AR107" i="2"/>
  <c r="AQ107" i="2"/>
  <c r="AP107" i="2"/>
  <c r="AZ107" i="2" s="1"/>
  <c r="AW106" i="2"/>
  <c r="AV106" i="2"/>
  <c r="AU106" i="2"/>
  <c r="AS106" i="2"/>
  <c r="AR106" i="2"/>
  <c r="AQ106" i="2"/>
  <c r="AP106" i="2"/>
  <c r="AY106" i="2" s="1"/>
  <c r="AF202" i="2"/>
  <c r="AE202" i="2"/>
  <c r="AD202" i="2"/>
  <c r="AB202" i="2"/>
  <c r="AA202" i="2"/>
  <c r="Z202" i="2"/>
  <c r="Y202" i="2"/>
  <c r="AI202" i="2" s="1"/>
  <c r="AF201" i="2"/>
  <c r="AE201" i="2"/>
  <c r="AD201" i="2"/>
  <c r="AB201" i="2"/>
  <c r="AA201" i="2"/>
  <c r="Z201" i="2"/>
  <c r="Y201" i="2"/>
  <c r="AI201" i="2" s="1"/>
  <c r="AF200" i="2"/>
  <c r="AE200" i="2"/>
  <c r="AD200" i="2"/>
  <c r="AB200" i="2"/>
  <c r="AA200" i="2"/>
  <c r="Z200" i="2"/>
  <c r="Y200" i="2"/>
  <c r="AI200" i="2" s="1"/>
  <c r="AF199" i="2"/>
  <c r="AE199" i="2"/>
  <c r="AD199" i="2"/>
  <c r="AB199" i="2"/>
  <c r="AA199" i="2"/>
  <c r="Z199" i="2"/>
  <c r="Y199" i="2"/>
  <c r="AI199" i="2" s="1"/>
  <c r="AF198" i="2"/>
  <c r="AE198" i="2"/>
  <c r="AD198" i="2"/>
  <c r="AB198" i="2"/>
  <c r="AA198" i="2"/>
  <c r="Z198" i="2"/>
  <c r="Y198" i="2"/>
  <c r="AH198" i="2" s="1"/>
  <c r="AF197" i="2"/>
  <c r="AE197" i="2"/>
  <c r="AD197" i="2"/>
  <c r="AB197" i="2"/>
  <c r="AA197" i="2"/>
  <c r="Z197" i="2"/>
  <c r="Y197" i="2"/>
  <c r="AI197" i="2" s="1"/>
  <c r="AF196" i="2"/>
  <c r="AE196" i="2"/>
  <c r="AD196" i="2"/>
  <c r="AB196" i="2"/>
  <c r="AA196" i="2"/>
  <c r="Z196" i="2"/>
  <c r="Y196" i="2"/>
  <c r="AF195" i="2"/>
  <c r="AE195" i="2"/>
  <c r="AD195" i="2"/>
  <c r="AB195" i="2"/>
  <c r="AA195" i="2"/>
  <c r="Z195" i="2"/>
  <c r="Y195" i="2"/>
  <c r="AI195" i="2" s="1"/>
  <c r="AF194" i="2"/>
  <c r="AE194" i="2"/>
  <c r="AD194" i="2"/>
  <c r="AB194" i="2"/>
  <c r="AA194" i="2"/>
  <c r="Z194" i="2"/>
  <c r="Y194" i="2"/>
  <c r="AF193" i="2"/>
  <c r="AE193" i="2"/>
  <c r="AD193" i="2"/>
  <c r="AB193" i="2"/>
  <c r="AA193" i="2"/>
  <c r="Z193" i="2"/>
  <c r="Y193" i="2"/>
  <c r="AF191" i="2"/>
  <c r="AF192" i="2" s="1"/>
  <c r="AE191" i="2"/>
  <c r="AE192" i="2" s="1"/>
  <c r="AD191" i="2"/>
  <c r="AD192" i="2" s="1"/>
  <c r="AB191" i="2"/>
  <c r="AA191" i="2"/>
  <c r="AA192" i="2" s="1"/>
  <c r="Z191" i="2"/>
  <c r="Z192" i="2" s="1"/>
  <c r="Y191" i="2"/>
  <c r="AI191" i="2" s="1"/>
  <c r="AF189" i="2"/>
  <c r="AE189" i="2"/>
  <c r="AD189" i="2"/>
  <c r="AB189" i="2"/>
  <c r="AA189" i="2"/>
  <c r="Z189" i="2"/>
  <c r="Y189" i="2"/>
  <c r="AI189" i="2" s="1"/>
  <c r="AF188" i="2"/>
  <c r="AE188" i="2"/>
  <c r="AD188" i="2"/>
  <c r="AB188" i="2"/>
  <c r="AA188" i="2"/>
  <c r="Z188" i="2"/>
  <c r="Y188" i="2"/>
  <c r="AI188" i="2" s="1"/>
  <c r="AF187" i="2"/>
  <c r="AE187" i="2"/>
  <c r="AD187" i="2"/>
  <c r="AB187" i="2"/>
  <c r="AA187" i="2"/>
  <c r="Z187" i="2"/>
  <c r="Y187" i="2"/>
  <c r="AI187" i="2" s="1"/>
  <c r="AF186" i="2"/>
  <c r="AE186" i="2"/>
  <c r="AD186" i="2"/>
  <c r="AB186" i="2"/>
  <c r="AA186" i="2"/>
  <c r="Z186" i="2"/>
  <c r="Y186" i="2"/>
  <c r="AI186" i="2" s="1"/>
  <c r="AF185" i="2"/>
  <c r="AE185" i="2"/>
  <c r="AD185" i="2"/>
  <c r="AB185" i="2"/>
  <c r="AA185" i="2"/>
  <c r="Z185" i="2"/>
  <c r="Y185" i="2"/>
  <c r="AI185" i="2" s="1"/>
  <c r="AF184" i="2"/>
  <c r="AE184" i="2"/>
  <c r="AD184" i="2"/>
  <c r="AB184" i="2"/>
  <c r="AA184" i="2"/>
  <c r="Z184" i="2"/>
  <c r="Y184" i="2"/>
  <c r="AF182" i="2"/>
  <c r="AE182" i="2"/>
  <c r="AD182" i="2"/>
  <c r="AB182" i="2"/>
  <c r="AA182" i="2"/>
  <c r="Z182" i="2"/>
  <c r="Y182" i="2"/>
  <c r="AI182" i="2" s="1"/>
  <c r="AF181" i="2"/>
  <c r="AE181" i="2"/>
  <c r="AD181" i="2"/>
  <c r="AB181" i="2"/>
  <c r="AA181" i="2"/>
  <c r="Z181" i="2"/>
  <c r="Y181" i="2"/>
  <c r="AI181" i="2" s="1"/>
  <c r="AF180" i="2"/>
  <c r="AE180" i="2"/>
  <c r="AD180" i="2"/>
  <c r="AB180" i="2"/>
  <c r="AA180" i="2"/>
  <c r="Z180" i="2"/>
  <c r="Y180" i="2"/>
  <c r="AI180" i="2" s="1"/>
  <c r="AF179" i="2"/>
  <c r="AE179" i="2"/>
  <c r="AD179" i="2"/>
  <c r="AB179" i="2"/>
  <c r="AA179" i="2"/>
  <c r="Z179" i="2"/>
  <c r="Y179" i="2"/>
  <c r="AH179" i="2" s="1"/>
  <c r="AF178" i="2"/>
  <c r="AE178" i="2"/>
  <c r="AD178" i="2"/>
  <c r="AB178" i="2"/>
  <c r="AA178" i="2"/>
  <c r="Z178" i="2"/>
  <c r="Y178" i="2"/>
  <c r="AI178" i="2" s="1"/>
  <c r="AF177" i="2"/>
  <c r="AE177" i="2"/>
  <c r="AD177" i="2"/>
  <c r="AB177" i="2"/>
  <c r="AA177" i="2"/>
  <c r="Z177" i="2"/>
  <c r="Y177" i="2"/>
  <c r="AI177" i="2" s="1"/>
  <c r="AF176" i="2"/>
  <c r="AE176" i="2"/>
  <c r="AD176" i="2"/>
  <c r="AB176" i="2"/>
  <c r="AA176" i="2"/>
  <c r="Z176" i="2"/>
  <c r="Y176" i="2"/>
  <c r="AF175" i="2"/>
  <c r="AE175" i="2"/>
  <c r="AD175" i="2"/>
  <c r="AB175" i="2"/>
  <c r="AA175" i="2"/>
  <c r="Z175" i="2"/>
  <c r="Y175" i="2"/>
  <c r="AI175" i="2" s="1"/>
  <c r="AF174" i="2"/>
  <c r="AE174" i="2"/>
  <c r="AD174" i="2"/>
  <c r="AB174" i="2"/>
  <c r="AA174" i="2"/>
  <c r="Z174" i="2"/>
  <c r="Y174" i="2"/>
  <c r="AH174" i="2" s="1"/>
  <c r="AF168" i="2"/>
  <c r="AE168" i="2"/>
  <c r="AD168" i="2"/>
  <c r="AB168" i="2"/>
  <c r="AA168" i="2"/>
  <c r="Z168" i="2"/>
  <c r="Y168" i="2"/>
  <c r="AF167" i="2"/>
  <c r="AE167" i="2"/>
  <c r="AD167" i="2"/>
  <c r="AB167" i="2"/>
  <c r="AA167" i="2"/>
  <c r="Z167" i="2"/>
  <c r="Y167" i="2"/>
  <c r="AF166" i="2"/>
  <c r="AE166" i="2"/>
  <c r="AD166" i="2"/>
  <c r="AB166" i="2"/>
  <c r="AA166" i="2"/>
  <c r="Z166" i="2"/>
  <c r="Y166" i="2"/>
  <c r="AH166" i="2" s="1"/>
  <c r="AF165" i="2"/>
  <c r="AE165" i="2"/>
  <c r="AD165" i="2"/>
  <c r="AB165" i="2"/>
  <c r="AA165" i="2"/>
  <c r="Z165" i="2"/>
  <c r="Y165" i="2"/>
  <c r="AH165" i="2" s="1"/>
  <c r="AF164" i="2"/>
  <c r="AE164" i="2"/>
  <c r="AD164" i="2"/>
  <c r="AB164" i="2"/>
  <c r="AA164" i="2"/>
  <c r="Y164" i="2"/>
  <c r="AI164" i="2" s="1"/>
  <c r="AF163" i="2"/>
  <c r="AE163" i="2"/>
  <c r="AD163" i="2"/>
  <c r="AB163" i="2"/>
  <c r="AA163" i="2"/>
  <c r="Z163" i="2"/>
  <c r="Y163" i="2"/>
  <c r="AF162" i="2"/>
  <c r="AE162" i="2"/>
  <c r="AD162" i="2"/>
  <c r="AB162" i="2"/>
  <c r="AA162" i="2"/>
  <c r="Z162" i="2"/>
  <c r="Y162" i="2"/>
  <c r="AI162" i="2" s="1"/>
  <c r="AF161" i="2"/>
  <c r="AE161" i="2"/>
  <c r="AD161" i="2"/>
  <c r="AB161" i="2"/>
  <c r="AA161" i="2"/>
  <c r="Z161" i="2"/>
  <c r="Y161" i="2"/>
  <c r="AI161" i="2" s="1"/>
  <c r="AF160" i="2"/>
  <c r="AE160" i="2"/>
  <c r="AD160" i="2"/>
  <c r="AB160" i="2"/>
  <c r="AA160" i="2"/>
  <c r="Z160" i="2"/>
  <c r="Y160" i="2"/>
  <c r="AF159" i="2"/>
  <c r="AE159" i="2"/>
  <c r="AD159" i="2"/>
  <c r="AB159" i="2"/>
  <c r="AA159" i="2"/>
  <c r="Z159" i="2"/>
  <c r="Y159" i="2"/>
  <c r="AI159" i="2" s="1"/>
  <c r="AF157" i="2"/>
  <c r="AF158" i="2" s="1"/>
  <c r="AE157" i="2"/>
  <c r="AE158" i="2" s="1"/>
  <c r="AD157" i="2"/>
  <c r="AD158" i="2" s="1"/>
  <c r="AB157" i="2"/>
  <c r="AA157" i="2"/>
  <c r="AA158" i="2" s="1"/>
  <c r="Z157" i="2"/>
  <c r="Z158" i="2" s="1"/>
  <c r="Y157" i="2"/>
  <c r="Y158" i="2" s="1"/>
  <c r="AH158" i="2" s="1"/>
  <c r="AF155" i="2"/>
  <c r="AE155" i="2"/>
  <c r="AD155" i="2"/>
  <c r="AB155" i="2"/>
  <c r="AA155" i="2"/>
  <c r="Z155" i="2"/>
  <c r="Y155" i="2"/>
  <c r="AH155" i="2" s="1"/>
  <c r="AF154" i="2"/>
  <c r="AE154" i="2"/>
  <c r="AD154" i="2"/>
  <c r="AB154" i="2"/>
  <c r="AA154" i="2"/>
  <c r="Z154" i="2"/>
  <c r="Y154" i="2"/>
  <c r="AI154" i="2" s="1"/>
  <c r="AF153" i="2"/>
  <c r="AE153" i="2"/>
  <c r="AD153" i="2"/>
  <c r="AB153" i="2"/>
  <c r="AA153" i="2"/>
  <c r="Z153" i="2"/>
  <c r="Y153" i="2"/>
  <c r="AI153" i="2" s="1"/>
  <c r="AF152" i="2"/>
  <c r="AE152" i="2"/>
  <c r="AD152" i="2"/>
  <c r="AB152" i="2"/>
  <c r="AA152" i="2"/>
  <c r="Z152" i="2"/>
  <c r="Y152" i="2"/>
  <c r="AI152" i="2" s="1"/>
  <c r="AF151" i="2"/>
  <c r="AE151" i="2"/>
  <c r="AD151" i="2"/>
  <c r="AB151" i="2"/>
  <c r="AA151" i="2"/>
  <c r="Z151" i="2"/>
  <c r="Y151" i="2"/>
  <c r="AF150" i="2"/>
  <c r="AE150" i="2"/>
  <c r="AD150" i="2"/>
  <c r="AB150" i="2"/>
  <c r="AA150" i="2"/>
  <c r="Z150" i="2"/>
  <c r="Y150" i="2"/>
  <c r="AI150" i="2" s="1"/>
  <c r="AF148" i="2"/>
  <c r="AE148" i="2"/>
  <c r="AD148" i="2"/>
  <c r="AB148" i="2"/>
  <c r="AA148" i="2"/>
  <c r="Z148" i="2"/>
  <c r="Y148" i="2"/>
  <c r="AI148" i="2" s="1"/>
  <c r="AF147" i="2"/>
  <c r="AE147" i="2"/>
  <c r="AD147" i="2"/>
  <c r="AB147" i="2"/>
  <c r="AA147" i="2"/>
  <c r="Z147" i="2"/>
  <c r="Y147" i="2"/>
  <c r="AI147" i="2" s="1"/>
  <c r="AF146" i="2"/>
  <c r="AE146" i="2"/>
  <c r="AD146" i="2"/>
  <c r="AB146" i="2"/>
  <c r="AA146" i="2"/>
  <c r="Z146" i="2"/>
  <c r="Y146" i="2"/>
  <c r="AI146" i="2" s="1"/>
  <c r="AF145" i="2"/>
  <c r="AE145" i="2"/>
  <c r="AD145" i="2"/>
  <c r="AB145" i="2"/>
  <c r="AA145" i="2"/>
  <c r="Z145" i="2"/>
  <c r="Y145" i="2"/>
  <c r="AI145" i="2" s="1"/>
  <c r="AF144" i="2"/>
  <c r="AE144" i="2"/>
  <c r="AD144" i="2"/>
  <c r="AB144" i="2"/>
  <c r="AA144" i="2"/>
  <c r="Z144" i="2"/>
  <c r="Y144" i="2"/>
  <c r="AI144" i="2" s="1"/>
  <c r="AF143" i="2"/>
  <c r="AE143" i="2"/>
  <c r="AD143" i="2"/>
  <c r="AB143" i="2"/>
  <c r="AA143" i="2"/>
  <c r="Z143" i="2"/>
  <c r="Y143" i="2"/>
  <c r="AF142" i="2"/>
  <c r="AE142" i="2"/>
  <c r="AD142" i="2"/>
  <c r="AB142" i="2"/>
  <c r="AA142" i="2"/>
  <c r="Z142" i="2"/>
  <c r="Y142" i="2"/>
  <c r="AH142" i="2" s="1"/>
  <c r="AF141" i="2"/>
  <c r="AE141" i="2"/>
  <c r="AD141" i="2"/>
  <c r="AB141" i="2"/>
  <c r="AA141" i="2"/>
  <c r="Z141" i="2"/>
  <c r="Y141" i="2"/>
  <c r="AI141" i="2" s="1"/>
  <c r="AF140" i="2"/>
  <c r="AE140" i="2"/>
  <c r="AD140" i="2"/>
  <c r="AB140" i="2"/>
  <c r="AA140" i="2"/>
  <c r="Z140" i="2"/>
  <c r="Y140" i="2"/>
  <c r="AI140" i="2" s="1"/>
  <c r="AF134" i="2"/>
  <c r="AE134" i="2"/>
  <c r="AD134" i="2"/>
  <c r="AB134" i="2"/>
  <c r="AA134" i="2"/>
  <c r="Z134" i="2"/>
  <c r="Y134" i="2"/>
  <c r="AI134" i="2" s="1"/>
  <c r="AF133" i="2"/>
  <c r="AE133" i="2"/>
  <c r="AD133" i="2"/>
  <c r="AB133" i="2"/>
  <c r="AA133" i="2"/>
  <c r="Z133" i="2"/>
  <c r="Y133" i="2"/>
  <c r="AF132" i="2"/>
  <c r="AE132" i="2"/>
  <c r="AD132" i="2"/>
  <c r="AB132" i="2"/>
  <c r="AA132" i="2"/>
  <c r="Z132" i="2"/>
  <c r="Y132" i="2"/>
  <c r="AI132" i="2" s="1"/>
  <c r="AF131" i="2"/>
  <c r="AE131" i="2"/>
  <c r="AD131" i="2"/>
  <c r="AB131" i="2"/>
  <c r="AA131" i="2"/>
  <c r="Y131" i="2"/>
  <c r="AF130" i="2"/>
  <c r="AE130" i="2"/>
  <c r="AD130" i="2"/>
  <c r="AB130" i="2"/>
  <c r="AA130" i="2"/>
  <c r="Y130" i="2"/>
  <c r="AH130" i="2" s="1"/>
  <c r="AF129" i="2"/>
  <c r="AE129" i="2"/>
  <c r="AD129" i="2"/>
  <c r="AB129" i="2"/>
  <c r="AA129" i="2"/>
  <c r="Z129" i="2"/>
  <c r="Y129" i="2"/>
  <c r="AI129" i="2" s="1"/>
  <c r="AF128" i="2"/>
  <c r="AE128" i="2"/>
  <c r="AD128" i="2"/>
  <c r="AB128" i="2"/>
  <c r="AA128" i="2"/>
  <c r="Z128" i="2"/>
  <c r="Y128" i="2"/>
  <c r="AF127" i="2"/>
  <c r="AE127" i="2"/>
  <c r="AD127" i="2"/>
  <c r="AB127" i="2"/>
  <c r="AA127" i="2"/>
  <c r="Z127" i="2"/>
  <c r="Y127" i="2"/>
  <c r="AI127" i="2" s="1"/>
  <c r="AF126" i="2"/>
  <c r="AE126" i="2"/>
  <c r="AD126" i="2"/>
  <c r="AB126" i="2"/>
  <c r="AA126" i="2"/>
  <c r="Z126" i="2"/>
  <c r="Y126" i="2"/>
  <c r="AI126" i="2" s="1"/>
  <c r="AF125" i="2"/>
  <c r="AE125" i="2"/>
  <c r="AD125" i="2"/>
  <c r="AB125" i="2"/>
  <c r="AA125" i="2"/>
  <c r="Z125" i="2"/>
  <c r="Y125" i="2"/>
  <c r="AI125" i="2" s="1"/>
  <c r="AF123" i="2"/>
  <c r="AF124" i="2" s="1"/>
  <c r="AE123" i="2"/>
  <c r="AE124" i="2" s="1"/>
  <c r="AD123" i="2"/>
  <c r="AD124" i="2" s="1"/>
  <c r="AB123" i="2"/>
  <c r="AB124" i="2" s="1"/>
  <c r="AA123" i="2"/>
  <c r="Z123" i="2"/>
  <c r="Z124" i="2" s="1"/>
  <c r="Y123" i="2"/>
  <c r="AI123" i="2" s="1"/>
  <c r="AF121" i="2"/>
  <c r="AE121" i="2"/>
  <c r="AD121" i="2"/>
  <c r="AB121" i="2"/>
  <c r="AA121" i="2"/>
  <c r="Z121" i="2"/>
  <c r="Y121" i="2"/>
  <c r="AF120" i="2"/>
  <c r="AE120" i="2"/>
  <c r="AD120" i="2"/>
  <c r="AB120" i="2"/>
  <c r="AA120" i="2"/>
  <c r="Z120" i="2"/>
  <c r="Y120" i="2"/>
  <c r="AI120" i="2" s="1"/>
  <c r="AF119" i="2"/>
  <c r="AE119" i="2"/>
  <c r="AD119" i="2"/>
  <c r="AB119" i="2"/>
  <c r="AA119" i="2"/>
  <c r="Z119" i="2"/>
  <c r="Y119" i="2"/>
  <c r="AI119" i="2" s="1"/>
  <c r="AF118" i="2"/>
  <c r="AE118" i="2"/>
  <c r="AD118" i="2"/>
  <c r="AB118" i="2"/>
  <c r="AA118" i="2"/>
  <c r="Z118" i="2"/>
  <c r="Y118" i="2"/>
  <c r="AH118" i="2" s="1"/>
  <c r="AF117" i="2"/>
  <c r="AE117" i="2"/>
  <c r="AD117" i="2"/>
  <c r="AB117" i="2"/>
  <c r="AA117" i="2"/>
  <c r="Z117" i="2"/>
  <c r="Y117" i="2"/>
  <c r="AF116" i="2"/>
  <c r="AE116" i="2"/>
  <c r="AD116" i="2"/>
  <c r="AB116" i="2"/>
  <c r="AA116" i="2"/>
  <c r="Z116" i="2"/>
  <c r="Y116" i="2"/>
  <c r="AI116" i="2" s="1"/>
  <c r="AF114" i="2"/>
  <c r="AE114" i="2"/>
  <c r="AD114" i="2"/>
  <c r="AB114" i="2"/>
  <c r="AA114" i="2"/>
  <c r="Z114" i="2"/>
  <c r="Y114" i="2"/>
  <c r="AF113" i="2"/>
  <c r="AE113" i="2"/>
  <c r="AD113" i="2"/>
  <c r="AB113" i="2"/>
  <c r="AA113" i="2"/>
  <c r="Z113" i="2"/>
  <c r="Y113" i="2"/>
  <c r="AI113" i="2" s="1"/>
  <c r="AF112" i="2"/>
  <c r="AE112" i="2"/>
  <c r="AD112" i="2"/>
  <c r="AB112" i="2"/>
  <c r="AA112" i="2"/>
  <c r="Z112" i="2"/>
  <c r="Y112" i="2"/>
  <c r="AI112" i="2" s="1"/>
  <c r="AF111" i="2"/>
  <c r="AE111" i="2"/>
  <c r="AD111" i="2"/>
  <c r="AB111" i="2"/>
  <c r="AA111" i="2"/>
  <c r="Z111" i="2"/>
  <c r="Y111" i="2"/>
  <c r="AH111" i="2" s="1"/>
  <c r="AF110" i="2"/>
  <c r="AE110" i="2"/>
  <c r="AD110" i="2"/>
  <c r="AB110" i="2"/>
  <c r="AA110" i="2"/>
  <c r="Z110" i="2"/>
  <c r="Y110" i="2"/>
  <c r="AI110" i="2" s="1"/>
  <c r="AF109" i="2"/>
  <c r="AE109" i="2"/>
  <c r="AD109" i="2"/>
  <c r="AB109" i="2"/>
  <c r="AA109" i="2"/>
  <c r="Z109" i="2"/>
  <c r="Y109" i="2"/>
  <c r="AF108" i="2"/>
  <c r="AE108" i="2"/>
  <c r="AD108" i="2"/>
  <c r="AB108" i="2"/>
  <c r="AA108" i="2"/>
  <c r="Z108" i="2"/>
  <c r="Y108" i="2"/>
  <c r="AI108" i="2" s="1"/>
  <c r="AF107" i="2"/>
  <c r="AE107" i="2"/>
  <c r="AD107" i="2"/>
  <c r="AB107" i="2"/>
  <c r="AA107" i="2"/>
  <c r="Z107" i="2"/>
  <c r="Y107" i="2"/>
  <c r="AI107" i="2" s="1"/>
  <c r="AF106" i="2"/>
  <c r="AE106" i="2"/>
  <c r="AD106" i="2"/>
  <c r="AB106" i="2"/>
  <c r="AA106" i="2"/>
  <c r="Z106" i="2"/>
  <c r="Y106" i="2"/>
  <c r="AH106" i="2" s="1"/>
  <c r="AW100" i="2"/>
  <c r="AV100" i="2"/>
  <c r="AU100" i="2"/>
  <c r="AS100" i="2"/>
  <c r="AR100" i="2"/>
  <c r="AQ100" i="2"/>
  <c r="AP100" i="2"/>
  <c r="AZ100" i="2" s="1"/>
  <c r="AW99" i="2"/>
  <c r="AV99" i="2"/>
  <c r="AU99" i="2"/>
  <c r="AS99" i="2"/>
  <c r="AR99" i="2"/>
  <c r="AQ99" i="2"/>
  <c r="AP99" i="2"/>
  <c r="AZ99" i="2" s="1"/>
  <c r="AW98" i="2"/>
  <c r="AV98" i="2"/>
  <c r="AU98" i="2"/>
  <c r="AS98" i="2"/>
  <c r="AR98" i="2"/>
  <c r="AQ98" i="2"/>
  <c r="AP98" i="2"/>
  <c r="AZ98" i="2" s="1"/>
  <c r="AW97" i="2"/>
  <c r="AV97" i="2"/>
  <c r="AU97" i="2"/>
  <c r="AS97" i="2"/>
  <c r="AR97" i="2"/>
  <c r="AQ97" i="2"/>
  <c r="AP97" i="2"/>
  <c r="AZ97" i="2" s="1"/>
  <c r="AW96" i="2"/>
  <c r="AV96" i="2"/>
  <c r="AU96" i="2"/>
  <c r="AS96" i="2"/>
  <c r="AR96" i="2"/>
  <c r="AQ96" i="2"/>
  <c r="AP96" i="2"/>
  <c r="AZ96" i="2" s="1"/>
  <c r="AW95" i="2"/>
  <c r="AV95" i="2"/>
  <c r="AU95" i="2"/>
  <c r="AS95" i="2"/>
  <c r="AR95" i="2"/>
  <c r="AQ95" i="2"/>
  <c r="AP95" i="2"/>
  <c r="AZ95" i="2" s="1"/>
  <c r="AW94" i="2"/>
  <c r="AV94" i="2"/>
  <c r="AU94" i="2"/>
  <c r="AS94" i="2"/>
  <c r="AR94" i="2"/>
  <c r="AQ94" i="2"/>
  <c r="AP94" i="2"/>
  <c r="AY94" i="2" s="1"/>
  <c r="AW93" i="2"/>
  <c r="AV93" i="2"/>
  <c r="AU93" i="2"/>
  <c r="AS93" i="2"/>
  <c r="AR93" i="2"/>
  <c r="AQ93" i="2"/>
  <c r="AP93" i="2"/>
  <c r="AZ93" i="2" s="1"/>
  <c r="AW92" i="2"/>
  <c r="AV92" i="2"/>
  <c r="AU92" i="2"/>
  <c r="AS92" i="2"/>
  <c r="AR92" i="2"/>
  <c r="AQ92" i="2"/>
  <c r="AP92" i="2"/>
  <c r="AZ92" i="2" s="1"/>
  <c r="AW91" i="2"/>
  <c r="AV91" i="2"/>
  <c r="AU91" i="2"/>
  <c r="AS91" i="2"/>
  <c r="AR91" i="2"/>
  <c r="AQ91" i="2"/>
  <c r="AP91" i="2"/>
  <c r="AZ91" i="2" s="1"/>
  <c r="AW89" i="2"/>
  <c r="AW90" i="2" s="1"/>
  <c r="AV89" i="2"/>
  <c r="AV90" i="2" s="1"/>
  <c r="AU89" i="2"/>
  <c r="AU90" i="2" s="1"/>
  <c r="AS89" i="2"/>
  <c r="AR89" i="2"/>
  <c r="AR90" i="2" s="1"/>
  <c r="AQ89" i="2"/>
  <c r="AQ90" i="2" s="1"/>
  <c r="AP89" i="2"/>
  <c r="AY89" i="2" s="1"/>
  <c r="AW87" i="2"/>
  <c r="AV87" i="2"/>
  <c r="AU87" i="2"/>
  <c r="AS87" i="2"/>
  <c r="AR87" i="2"/>
  <c r="AQ87" i="2"/>
  <c r="AP87" i="2"/>
  <c r="AZ87" i="2" s="1"/>
  <c r="AW86" i="2"/>
  <c r="AV86" i="2"/>
  <c r="AU86" i="2"/>
  <c r="AS86" i="2"/>
  <c r="AR86" i="2"/>
  <c r="AQ86" i="2"/>
  <c r="AP86" i="2"/>
  <c r="AZ86" i="2" s="1"/>
  <c r="AW85" i="2"/>
  <c r="AV85" i="2"/>
  <c r="AU85" i="2"/>
  <c r="AS85" i="2"/>
  <c r="AR85" i="2"/>
  <c r="AQ85" i="2"/>
  <c r="AP85" i="2"/>
  <c r="AW84" i="2"/>
  <c r="AV84" i="2"/>
  <c r="AU84" i="2"/>
  <c r="AS84" i="2"/>
  <c r="AR84" i="2"/>
  <c r="AQ84" i="2"/>
  <c r="AP84" i="2"/>
  <c r="AZ84" i="2" s="1"/>
  <c r="AW83" i="2"/>
  <c r="AV83" i="2"/>
  <c r="AU83" i="2"/>
  <c r="AS83" i="2"/>
  <c r="AR83" i="2"/>
  <c r="AQ83" i="2"/>
  <c r="AP83" i="2"/>
  <c r="AZ83" i="2" s="1"/>
  <c r="AW82" i="2"/>
  <c r="AV82" i="2"/>
  <c r="AU82" i="2"/>
  <c r="AS82" i="2"/>
  <c r="AR82" i="2"/>
  <c r="AQ82" i="2"/>
  <c r="AP82" i="2"/>
  <c r="AW80" i="2"/>
  <c r="AV80" i="2"/>
  <c r="AU80" i="2"/>
  <c r="AS80" i="2"/>
  <c r="AR80" i="2"/>
  <c r="AQ80" i="2"/>
  <c r="AP80" i="2"/>
  <c r="AZ80" i="2" s="1"/>
  <c r="AW79" i="2"/>
  <c r="AV79" i="2"/>
  <c r="AU79" i="2"/>
  <c r="AS79" i="2"/>
  <c r="AR79" i="2"/>
  <c r="AQ79" i="2"/>
  <c r="AP79" i="2"/>
  <c r="AW78" i="2"/>
  <c r="AV78" i="2"/>
  <c r="AU78" i="2"/>
  <c r="AS78" i="2"/>
  <c r="AR78" i="2"/>
  <c r="AQ78" i="2"/>
  <c r="AP78" i="2"/>
  <c r="AZ78" i="2" s="1"/>
  <c r="AW77" i="2"/>
  <c r="AV77" i="2"/>
  <c r="AU77" i="2"/>
  <c r="AS77" i="2"/>
  <c r="AR77" i="2"/>
  <c r="AQ77" i="2"/>
  <c r="AP77" i="2"/>
  <c r="AZ77" i="2" s="1"/>
  <c r="AW76" i="2"/>
  <c r="AV76" i="2"/>
  <c r="AU76" i="2"/>
  <c r="AS76" i="2"/>
  <c r="AR76" i="2"/>
  <c r="AQ76" i="2"/>
  <c r="AP76" i="2"/>
  <c r="AZ76" i="2" s="1"/>
  <c r="AW75" i="2"/>
  <c r="AV75" i="2"/>
  <c r="AU75" i="2"/>
  <c r="AS75" i="2"/>
  <c r="AR75" i="2"/>
  <c r="AQ75" i="2"/>
  <c r="AP75" i="2"/>
  <c r="AZ75" i="2" s="1"/>
  <c r="AW74" i="2"/>
  <c r="AV74" i="2"/>
  <c r="AU74" i="2"/>
  <c r="AS74" i="2"/>
  <c r="AR74" i="2"/>
  <c r="AQ74" i="2"/>
  <c r="AP74" i="2"/>
  <c r="AZ74" i="2" s="1"/>
  <c r="AW73" i="2"/>
  <c r="AV73" i="2"/>
  <c r="AU73" i="2"/>
  <c r="AS73" i="2"/>
  <c r="AR73" i="2"/>
  <c r="AQ73" i="2"/>
  <c r="AP73" i="2"/>
  <c r="AZ73" i="2" s="1"/>
  <c r="AW72" i="2"/>
  <c r="AV72" i="2"/>
  <c r="AU72" i="2"/>
  <c r="AS72" i="2"/>
  <c r="AR72" i="2"/>
  <c r="AQ72" i="2"/>
  <c r="AP72" i="2"/>
  <c r="AY72" i="2" s="1"/>
  <c r="AW66" i="2"/>
  <c r="AV66" i="2"/>
  <c r="AU66" i="2"/>
  <c r="AS66" i="2"/>
  <c r="AR66" i="2"/>
  <c r="AQ66" i="2"/>
  <c r="AP66" i="2"/>
  <c r="AZ66" i="2" s="1"/>
  <c r="AW65" i="2"/>
  <c r="AV65" i="2"/>
  <c r="AU65" i="2"/>
  <c r="AS65" i="2"/>
  <c r="AR65" i="2"/>
  <c r="AQ65" i="2"/>
  <c r="AP65" i="2"/>
  <c r="AZ65" i="2" s="1"/>
  <c r="AW64" i="2"/>
  <c r="AV64" i="2"/>
  <c r="AU64" i="2"/>
  <c r="AS64" i="2"/>
  <c r="AR64" i="2"/>
  <c r="AQ64" i="2"/>
  <c r="AP64" i="2"/>
  <c r="AZ64" i="2" s="1"/>
  <c r="AW63" i="2"/>
  <c r="AV63" i="2"/>
  <c r="AU63" i="2"/>
  <c r="AS63" i="2"/>
  <c r="AR63" i="2"/>
  <c r="AQ63" i="2"/>
  <c r="AP63" i="2"/>
  <c r="AZ63" i="2" s="1"/>
  <c r="AW62" i="2"/>
  <c r="AV62" i="2"/>
  <c r="AU62" i="2"/>
  <c r="AS62" i="2"/>
  <c r="AR62" i="2"/>
  <c r="AQ62" i="2"/>
  <c r="AP62" i="2"/>
  <c r="AW61" i="2"/>
  <c r="AV61" i="2"/>
  <c r="AU61" i="2"/>
  <c r="AS61" i="2"/>
  <c r="AR61" i="2"/>
  <c r="AQ61" i="2"/>
  <c r="AP61" i="2"/>
  <c r="AW60" i="2"/>
  <c r="AV60" i="2"/>
  <c r="AU60" i="2"/>
  <c r="AS60" i="2"/>
  <c r="AR60" i="2"/>
  <c r="AQ60" i="2"/>
  <c r="AP60" i="2"/>
  <c r="AZ60" i="2" s="1"/>
  <c r="AW59" i="2"/>
  <c r="AV59" i="2"/>
  <c r="AU59" i="2"/>
  <c r="AS59" i="2"/>
  <c r="AR59" i="2"/>
  <c r="AQ59" i="2"/>
  <c r="AP59" i="2"/>
  <c r="AZ59" i="2" s="1"/>
  <c r="AW58" i="2"/>
  <c r="AV58" i="2"/>
  <c r="AU58" i="2"/>
  <c r="AS58" i="2"/>
  <c r="AR58" i="2"/>
  <c r="AQ58" i="2"/>
  <c r="AP58" i="2"/>
  <c r="AZ58" i="2" s="1"/>
  <c r="AW57" i="2"/>
  <c r="AV57" i="2"/>
  <c r="AU57" i="2"/>
  <c r="AS57" i="2"/>
  <c r="AR57" i="2"/>
  <c r="AP57" i="2"/>
  <c r="AZ57" i="2" s="1"/>
  <c r="AW55" i="2"/>
  <c r="AW56" i="2" s="1"/>
  <c r="AV55" i="2"/>
  <c r="AV56" i="2" s="1"/>
  <c r="AU55" i="2"/>
  <c r="AU56" i="2" s="1"/>
  <c r="AS55" i="2"/>
  <c r="AS56" i="2" s="1"/>
  <c r="AR55" i="2"/>
  <c r="AQ55" i="2"/>
  <c r="AQ56" i="2" s="1"/>
  <c r="AP55" i="2"/>
  <c r="AP56" i="2" s="1"/>
  <c r="AY56" i="2" s="1"/>
  <c r="AW53" i="2"/>
  <c r="AV53" i="2"/>
  <c r="AU53" i="2"/>
  <c r="AS53" i="2"/>
  <c r="AR53" i="2"/>
  <c r="AQ53" i="2"/>
  <c r="AP53" i="2"/>
  <c r="AZ53" i="2" s="1"/>
  <c r="AW52" i="2"/>
  <c r="AV52" i="2"/>
  <c r="AU52" i="2"/>
  <c r="AS52" i="2"/>
  <c r="AR52" i="2"/>
  <c r="AQ52" i="2"/>
  <c r="AP52" i="2"/>
  <c r="AZ52" i="2" s="1"/>
  <c r="AW51" i="2"/>
  <c r="AV51" i="2"/>
  <c r="AU51" i="2"/>
  <c r="AS51" i="2"/>
  <c r="AR51" i="2"/>
  <c r="AQ51" i="2"/>
  <c r="AP51" i="2"/>
  <c r="AY51" i="2" s="1"/>
  <c r="AW50" i="2"/>
  <c r="AV50" i="2"/>
  <c r="AU50" i="2"/>
  <c r="AS50" i="2"/>
  <c r="AR50" i="2"/>
  <c r="AQ50" i="2"/>
  <c r="AP50" i="2"/>
  <c r="AW49" i="2"/>
  <c r="AV49" i="2"/>
  <c r="AU49" i="2"/>
  <c r="AS49" i="2"/>
  <c r="AR49" i="2"/>
  <c r="AQ49" i="2"/>
  <c r="AP49" i="2"/>
  <c r="AY49" i="2" s="1"/>
  <c r="AW48" i="2"/>
  <c r="AV48" i="2"/>
  <c r="AU48" i="2"/>
  <c r="AS48" i="2"/>
  <c r="AR48" i="2"/>
  <c r="AQ48" i="2"/>
  <c r="AP48" i="2"/>
  <c r="AZ48" i="2" s="1"/>
  <c r="AW46" i="2"/>
  <c r="AV46" i="2"/>
  <c r="AU46" i="2"/>
  <c r="AS46" i="2"/>
  <c r="AR46" i="2"/>
  <c r="AQ46" i="2"/>
  <c r="AP46" i="2"/>
  <c r="AZ46" i="2" s="1"/>
  <c r="AW45" i="2"/>
  <c r="AV45" i="2"/>
  <c r="AU45" i="2"/>
  <c r="AS45" i="2"/>
  <c r="AR45" i="2"/>
  <c r="AQ45" i="2"/>
  <c r="AP45" i="2"/>
  <c r="AW44" i="2"/>
  <c r="AV44" i="2"/>
  <c r="AU44" i="2"/>
  <c r="AS44" i="2"/>
  <c r="AR44" i="2"/>
  <c r="AQ44" i="2"/>
  <c r="AP44" i="2"/>
  <c r="AW43" i="2"/>
  <c r="AV43" i="2"/>
  <c r="AU43" i="2"/>
  <c r="AS43" i="2"/>
  <c r="AR43" i="2"/>
  <c r="AQ43" i="2"/>
  <c r="AP43" i="2"/>
  <c r="AZ43" i="2" s="1"/>
  <c r="AW42" i="2"/>
  <c r="AV42" i="2"/>
  <c r="AU42" i="2"/>
  <c r="AS42" i="2"/>
  <c r="AR42" i="2"/>
  <c r="AQ42" i="2"/>
  <c r="AP42" i="2"/>
  <c r="AY42" i="2" s="1"/>
  <c r="AW41" i="2"/>
  <c r="AV41" i="2"/>
  <c r="AU41" i="2"/>
  <c r="AS41" i="2"/>
  <c r="AR41" i="2"/>
  <c r="AQ41" i="2"/>
  <c r="AP41" i="2"/>
  <c r="AZ41" i="2" s="1"/>
  <c r="AW40" i="2"/>
  <c r="AV40" i="2"/>
  <c r="AU40" i="2"/>
  <c r="AS40" i="2"/>
  <c r="AR40" i="2"/>
  <c r="AQ40" i="2"/>
  <c r="AP40" i="2"/>
  <c r="AZ40" i="2" s="1"/>
  <c r="AW39" i="2"/>
  <c r="AV39" i="2"/>
  <c r="AU39" i="2"/>
  <c r="AS39" i="2"/>
  <c r="AR39" i="2"/>
  <c r="AQ39" i="2"/>
  <c r="AP39" i="2"/>
  <c r="AZ39" i="2" s="1"/>
  <c r="AW38" i="2"/>
  <c r="AV38" i="2"/>
  <c r="AU38" i="2"/>
  <c r="AS38" i="2"/>
  <c r="AR38" i="2"/>
  <c r="AQ38" i="2"/>
  <c r="AP38" i="2"/>
  <c r="AZ38" i="2" s="1"/>
  <c r="AZ25" i="2"/>
  <c r="AS22" i="2"/>
  <c r="AZ16" i="2"/>
  <c r="AZ14" i="2"/>
  <c r="AU124" i="2"/>
  <c r="BH4" i="2"/>
  <c r="BI4" i="2"/>
  <c r="BJ4" i="2"/>
  <c r="BL4" i="2"/>
  <c r="BM4" i="2"/>
  <c r="BN4" i="2"/>
  <c r="BG5" i="2"/>
  <c r="BI5" i="2"/>
  <c r="BJ5" i="2"/>
  <c r="BL5" i="2"/>
  <c r="BM5" i="2"/>
  <c r="BN5" i="2"/>
  <c r="BH6" i="2"/>
  <c r="BI6" i="2"/>
  <c r="BJ6" i="2"/>
  <c r="BL6" i="2"/>
  <c r="BM6" i="2"/>
  <c r="BN6" i="2"/>
  <c r="BG7" i="2"/>
  <c r="BI7" i="2"/>
  <c r="BJ7" i="2"/>
  <c r="BL7" i="2"/>
  <c r="BM7" i="2"/>
  <c r="BN7" i="2"/>
  <c r="BG8" i="2"/>
  <c r="BP8" i="2" s="1"/>
  <c r="BH8" i="2"/>
  <c r="BI8" i="2"/>
  <c r="BJ8" i="2"/>
  <c r="BL8" i="2"/>
  <c r="BM8" i="2"/>
  <c r="BN8" i="2"/>
  <c r="BG9" i="2"/>
  <c r="BP9" i="2" s="1"/>
  <c r="BH9" i="2"/>
  <c r="BI9" i="2"/>
  <c r="BJ9" i="2"/>
  <c r="BL9" i="2"/>
  <c r="BM9" i="2"/>
  <c r="BN9" i="2"/>
  <c r="BG10" i="2"/>
  <c r="BP10" i="2" s="1"/>
  <c r="BH10" i="2"/>
  <c r="BI10" i="2"/>
  <c r="BJ10" i="2"/>
  <c r="BL10" i="2"/>
  <c r="BM10" i="2"/>
  <c r="BN10" i="2"/>
  <c r="BG11" i="2"/>
  <c r="BH11" i="2"/>
  <c r="BI11" i="2"/>
  <c r="BJ11" i="2"/>
  <c r="BL11" i="2"/>
  <c r="BM11" i="2"/>
  <c r="BN11" i="2"/>
  <c r="BG12" i="2"/>
  <c r="BQ12" i="2" s="1"/>
  <c r="BH12" i="2"/>
  <c r="BI12" i="2"/>
  <c r="BJ12" i="2"/>
  <c r="BL12" i="2"/>
  <c r="BM12" i="2"/>
  <c r="BN12" i="2"/>
  <c r="BG14" i="2"/>
  <c r="BH14" i="2"/>
  <c r="BI14" i="2"/>
  <c r="BJ14" i="2"/>
  <c r="BL14" i="2"/>
  <c r="BM14" i="2"/>
  <c r="BN14" i="2"/>
  <c r="BG15" i="2"/>
  <c r="BH15" i="2"/>
  <c r="BI15" i="2"/>
  <c r="BJ15" i="2"/>
  <c r="BL15" i="2"/>
  <c r="BM15" i="2"/>
  <c r="BN15" i="2"/>
  <c r="BG16" i="2"/>
  <c r="BP16" i="2" s="1"/>
  <c r="BH16" i="2"/>
  <c r="BI16" i="2"/>
  <c r="BJ16" i="2"/>
  <c r="BL16" i="2"/>
  <c r="BM16" i="2"/>
  <c r="BN16" i="2"/>
  <c r="BG17" i="2"/>
  <c r="BQ17" i="2" s="1"/>
  <c r="BH17" i="2"/>
  <c r="BI17" i="2"/>
  <c r="BJ17" i="2"/>
  <c r="BL17" i="2"/>
  <c r="BM17" i="2"/>
  <c r="BN17" i="2"/>
  <c r="BG18" i="2"/>
  <c r="BP18" i="2" s="1"/>
  <c r="BH18" i="2"/>
  <c r="BI18" i="2"/>
  <c r="BJ18" i="2"/>
  <c r="BL18" i="2"/>
  <c r="BM18" i="2"/>
  <c r="BN18" i="2"/>
  <c r="BG19" i="2"/>
  <c r="BP19" i="2" s="1"/>
  <c r="BH19" i="2"/>
  <c r="BI19" i="2"/>
  <c r="BJ19" i="2"/>
  <c r="BL19" i="2"/>
  <c r="BM19" i="2"/>
  <c r="BN19" i="2"/>
  <c r="BG21" i="2"/>
  <c r="BP21" i="2" s="1"/>
  <c r="BH21" i="2"/>
  <c r="BH22" i="2" s="1"/>
  <c r="BI21" i="2"/>
  <c r="BJ21" i="2"/>
  <c r="BJ22" i="2" s="1"/>
  <c r="BL21" i="2"/>
  <c r="BL22" i="2" s="1"/>
  <c r="BM21" i="2"/>
  <c r="BM22" i="2" s="1"/>
  <c r="BN21" i="2"/>
  <c r="BN22" i="2" s="1"/>
  <c r="BG23" i="2"/>
  <c r="BI23" i="2"/>
  <c r="BJ23" i="2"/>
  <c r="BL23" i="2"/>
  <c r="BM23" i="2"/>
  <c r="BN23" i="2"/>
  <c r="BG24" i="2"/>
  <c r="BP24" i="2" s="1"/>
  <c r="BH24" i="2"/>
  <c r="BI24" i="2"/>
  <c r="BJ24" i="2"/>
  <c r="BL24" i="2"/>
  <c r="BM24" i="2"/>
  <c r="BN24" i="2"/>
  <c r="BG25" i="2"/>
  <c r="BP25" i="2" s="1"/>
  <c r="BH25" i="2"/>
  <c r="BI25" i="2"/>
  <c r="BJ25" i="2"/>
  <c r="BL25" i="2"/>
  <c r="BM25" i="2"/>
  <c r="BN25" i="2"/>
  <c r="BG26" i="2"/>
  <c r="BQ26" i="2" s="1"/>
  <c r="BI26" i="2"/>
  <c r="BJ26" i="2"/>
  <c r="BL26" i="2"/>
  <c r="BM26" i="2"/>
  <c r="BN26" i="2"/>
  <c r="BG27" i="2"/>
  <c r="BH27" i="2"/>
  <c r="BI27" i="2"/>
  <c r="BJ27" i="2"/>
  <c r="BL27" i="2"/>
  <c r="BM27" i="2"/>
  <c r="BN27" i="2"/>
  <c r="BG28" i="2"/>
  <c r="BI28" i="2"/>
  <c r="BJ28" i="2"/>
  <c r="BL28" i="2"/>
  <c r="BM28" i="2"/>
  <c r="BN28" i="2"/>
  <c r="BG29" i="2"/>
  <c r="BI29" i="2"/>
  <c r="BJ29" i="2"/>
  <c r="BL29" i="2"/>
  <c r="BM29" i="2"/>
  <c r="BN29" i="2"/>
  <c r="BG30" i="2"/>
  <c r="BQ30" i="2" s="1"/>
  <c r="BH30" i="2"/>
  <c r="BI30" i="2"/>
  <c r="BJ30" i="2"/>
  <c r="BL30" i="2"/>
  <c r="BM30" i="2"/>
  <c r="BN30" i="2"/>
  <c r="BG31" i="2"/>
  <c r="BP31" i="2" s="1"/>
  <c r="BH31" i="2"/>
  <c r="BI31" i="2"/>
  <c r="BJ31" i="2"/>
  <c r="BL31" i="2"/>
  <c r="BM31" i="2"/>
  <c r="BN31" i="2"/>
  <c r="BG32" i="2"/>
  <c r="BP32" i="2" s="1"/>
  <c r="BI32" i="2"/>
  <c r="BJ32" i="2"/>
  <c r="BL32" i="2"/>
  <c r="BM32" i="2"/>
  <c r="BN32" i="2"/>
  <c r="BG43" i="2"/>
  <c r="BO43" i="2" s="1"/>
  <c r="BH43" i="2"/>
  <c r="BI43" i="2"/>
  <c r="BK43" i="2"/>
  <c r="BL43" i="2"/>
  <c r="BM43" i="2"/>
  <c r="BG44" i="2"/>
  <c r="BH44" i="2"/>
  <c r="BI44" i="2"/>
  <c r="BK44" i="2"/>
  <c r="BL44" i="2"/>
  <c r="BM44" i="2"/>
  <c r="BG45" i="2"/>
  <c r="BP45" i="2" s="1"/>
  <c r="BH45" i="2"/>
  <c r="BI45" i="2"/>
  <c r="BJ45" i="2" s="1"/>
  <c r="BK45" i="2"/>
  <c r="BL45" i="2"/>
  <c r="BM45" i="2"/>
  <c r="BG46" i="2"/>
  <c r="BH46" i="2"/>
  <c r="BI46" i="2"/>
  <c r="BK46" i="2"/>
  <c r="BL46" i="2"/>
  <c r="BM46" i="2"/>
  <c r="BG47" i="2"/>
  <c r="BP47" i="2" s="1"/>
  <c r="BH47" i="2"/>
  <c r="BI47" i="2"/>
  <c r="BK47" i="2"/>
  <c r="BL47" i="2"/>
  <c r="BM47" i="2"/>
  <c r="BG48" i="2"/>
  <c r="BO48" i="2" s="1"/>
  <c r="BH48" i="2"/>
  <c r="BI48" i="2"/>
  <c r="BK48" i="2"/>
  <c r="BL48" i="2"/>
  <c r="BM48" i="2"/>
  <c r="BG49" i="2"/>
  <c r="BO49" i="2" s="1"/>
  <c r="BH49" i="2"/>
  <c r="BI49" i="2"/>
  <c r="BJ49" i="2" s="1"/>
  <c r="BK49" i="2"/>
  <c r="BL49" i="2"/>
  <c r="BM49" i="2"/>
  <c r="BG50" i="2"/>
  <c r="BP50" i="2" s="1"/>
  <c r="BH50" i="2"/>
  <c r="BI50" i="2"/>
  <c r="BK50" i="2"/>
  <c r="BL50" i="2"/>
  <c r="BM50" i="2"/>
  <c r="BG51" i="2"/>
  <c r="BP51" i="2" s="1"/>
  <c r="BH51" i="2"/>
  <c r="BI51" i="2"/>
  <c r="BK51" i="2"/>
  <c r="BL51" i="2"/>
  <c r="BM51" i="2"/>
  <c r="BG53" i="2"/>
  <c r="BH53" i="2"/>
  <c r="BI53" i="2"/>
  <c r="BK53" i="2"/>
  <c r="BL53" i="2"/>
  <c r="BM53" i="2"/>
  <c r="BG54" i="2"/>
  <c r="BP54" i="2" s="1"/>
  <c r="BH54" i="2"/>
  <c r="BI54" i="2"/>
  <c r="BK54" i="2"/>
  <c r="BL54" i="2"/>
  <c r="BM54" i="2"/>
  <c r="BG55" i="2"/>
  <c r="BH55" i="2"/>
  <c r="BI55" i="2"/>
  <c r="BK55" i="2"/>
  <c r="BL55" i="2"/>
  <c r="BM55" i="2"/>
  <c r="BG56" i="2"/>
  <c r="BP56" i="2" s="1"/>
  <c r="BH56" i="2"/>
  <c r="BI56" i="2"/>
  <c r="BK56" i="2"/>
  <c r="BL56" i="2"/>
  <c r="BM56" i="2"/>
  <c r="BG57" i="2"/>
  <c r="BH57" i="2"/>
  <c r="BI57" i="2"/>
  <c r="BK57" i="2"/>
  <c r="BL57" i="2"/>
  <c r="BM57" i="2"/>
  <c r="BG58" i="2"/>
  <c r="BP58" i="2" s="1"/>
  <c r="BH58" i="2"/>
  <c r="BI58" i="2"/>
  <c r="BJ58" i="2" s="1"/>
  <c r="BK58" i="2"/>
  <c r="BL58" i="2"/>
  <c r="BM58" i="2"/>
  <c r="BG60" i="2"/>
  <c r="BP60" i="2" s="1"/>
  <c r="BH60" i="2"/>
  <c r="BH61" i="2" s="1"/>
  <c r="BI60" i="2"/>
  <c r="BK60" i="2"/>
  <c r="BK61" i="2" s="1"/>
  <c r="BL60" i="2"/>
  <c r="BL61" i="2" s="1"/>
  <c r="BM60" i="2"/>
  <c r="BM61" i="2" s="1"/>
  <c r="BG62" i="2"/>
  <c r="BH62" i="2"/>
  <c r="BI62" i="2"/>
  <c r="BK62" i="2"/>
  <c r="BL62" i="2"/>
  <c r="BM62" i="2"/>
  <c r="BG63" i="2"/>
  <c r="BO63" i="2" s="1"/>
  <c r="BH63" i="2"/>
  <c r="BI63" i="2"/>
  <c r="BK63" i="2"/>
  <c r="BL63" i="2"/>
  <c r="BM63" i="2"/>
  <c r="BG64" i="2"/>
  <c r="BH64" i="2"/>
  <c r="BI64" i="2"/>
  <c r="BK64" i="2"/>
  <c r="BL64" i="2"/>
  <c r="BM64" i="2"/>
  <c r="BG65" i="2"/>
  <c r="BP65" i="2" s="1"/>
  <c r="BH65" i="2"/>
  <c r="BJ65" i="2" s="1"/>
  <c r="BI65" i="2"/>
  <c r="BK65" i="2"/>
  <c r="BL65" i="2"/>
  <c r="BM65" i="2"/>
  <c r="BG66" i="2"/>
  <c r="BP66" i="2" s="1"/>
  <c r="BH66" i="2"/>
  <c r="BI66" i="2"/>
  <c r="BK66" i="2"/>
  <c r="BL66" i="2"/>
  <c r="BM66" i="2"/>
  <c r="BG67" i="2"/>
  <c r="BP67" i="2" s="1"/>
  <c r="BH67" i="2"/>
  <c r="BI67" i="2"/>
  <c r="BK67" i="2"/>
  <c r="BL67" i="2"/>
  <c r="BM67" i="2"/>
  <c r="BG68" i="2"/>
  <c r="BO68" i="2" s="1"/>
  <c r="BH68" i="2"/>
  <c r="BI68" i="2"/>
  <c r="BK68" i="2"/>
  <c r="BL68" i="2"/>
  <c r="BM68" i="2"/>
  <c r="BG69" i="2"/>
  <c r="BO69" i="2" s="1"/>
  <c r="BH69" i="2"/>
  <c r="BI69" i="2"/>
  <c r="BK69" i="2"/>
  <c r="BL69" i="2"/>
  <c r="BM69" i="2"/>
  <c r="BG70" i="2"/>
  <c r="BP70" i="2" s="1"/>
  <c r="BH70" i="2"/>
  <c r="BI70" i="2"/>
  <c r="BK70" i="2"/>
  <c r="BL70" i="2"/>
  <c r="BM70" i="2"/>
  <c r="BG71" i="2"/>
  <c r="BP71" i="2" s="1"/>
  <c r="BH71" i="2"/>
  <c r="BI71" i="2"/>
  <c r="BK71" i="2"/>
  <c r="BL71" i="2"/>
  <c r="BM71" i="2"/>
  <c r="BG82" i="2"/>
  <c r="BP82" i="2" s="1"/>
  <c r="BH82" i="2"/>
  <c r="BI82" i="2"/>
  <c r="BK82" i="2"/>
  <c r="BL82" i="2"/>
  <c r="BM82" i="2"/>
  <c r="BG83" i="2"/>
  <c r="BP83" i="2" s="1"/>
  <c r="BH83" i="2"/>
  <c r="BI83" i="2"/>
  <c r="BK83" i="2"/>
  <c r="BL83" i="2"/>
  <c r="BM83" i="2"/>
  <c r="BG84" i="2"/>
  <c r="BP84" i="2" s="1"/>
  <c r="BH84" i="2"/>
  <c r="BI84" i="2"/>
  <c r="BK84" i="2"/>
  <c r="BL84" i="2"/>
  <c r="BM84" i="2"/>
  <c r="BG85" i="2"/>
  <c r="BH85" i="2"/>
  <c r="BI85" i="2"/>
  <c r="BK85" i="2"/>
  <c r="BL85" i="2"/>
  <c r="BM85" i="2"/>
  <c r="BG86" i="2"/>
  <c r="BO86" i="2" s="1"/>
  <c r="BH86" i="2"/>
  <c r="BI86" i="2"/>
  <c r="BK86" i="2"/>
  <c r="BL86" i="2"/>
  <c r="BM86" i="2"/>
  <c r="BG87" i="2"/>
  <c r="BO87" i="2" s="1"/>
  <c r="BH87" i="2"/>
  <c r="BI87" i="2"/>
  <c r="BK87" i="2"/>
  <c r="BL87" i="2"/>
  <c r="BM87" i="2"/>
  <c r="BG88" i="2"/>
  <c r="BH88" i="2"/>
  <c r="BI88" i="2"/>
  <c r="BK88" i="2"/>
  <c r="BL88" i="2"/>
  <c r="BM88" i="2"/>
  <c r="BG89" i="2"/>
  <c r="BP89" i="2" s="1"/>
  <c r="BH89" i="2"/>
  <c r="BI89" i="2"/>
  <c r="BK89" i="2"/>
  <c r="BL89" i="2"/>
  <c r="BM89" i="2"/>
  <c r="BG90" i="2"/>
  <c r="BP90" i="2" s="1"/>
  <c r="BH90" i="2"/>
  <c r="BI90" i="2"/>
  <c r="BK90" i="2"/>
  <c r="BL90" i="2"/>
  <c r="BM90" i="2"/>
  <c r="BG92" i="2"/>
  <c r="BO92" i="2" s="1"/>
  <c r="BH92" i="2"/>
  <c r="BI92" i="2"/>
  <c r="BK92" i="2"/>
  <c r="BL92" i="2"/>
  <c r="BM92" i="2"/>
  <c r="BG93" i="2"/>
  <c r="BP93" i="2" s="1"/>
  <c r="BH93" i="2"/>
  <c r="BI93" i="2"/>
  <c r="BK93" i="2"/>
  <c r="BL93" i="2"/>
  <c r="BM93" i="2"/>
  <c r="BG94" i="2"/>
  <c r="BO94" i="2" s="1"/>
  <c r="BH94" i="2"/>
  <c r="BI94" i="2"/>
  <c r="BK94" i="2"/>
  <c r="BL94" i="2"/>
  <c r="BM94" i="2"/>
  <c r="BG95" i="2"/>
  <c r="BH95" i="2"/>
  <c r="BI95" i="2"/>
  <c r="BK95" i="2"/>
  <c r="BL95" i="2"/>
  <c r="BM95" i="2"/>
  <c r="BG96" i="2"/>
  <c r="BO96" i="2" s="1"/>
  <c r="BH96" i="2"/>
  <c r="BI96" i="2"/>
  <c r="BK96" i="2"/>
  <c r="BL96" i="2"/>
  <c r="BM96" i="2"/>
  <c r="BG97" i="2"/>
  <c r="BH97" i="2"/>
  <c r="BI97" i="2"/>
  <c r="BK97" i="2"/>
  <c r="BL97" i="2"/>
  <c r="BM97" i="2"/>
  <c r="BG99" i="2"/>
  <c r="BO99" i="2" s="1"/>
  <c r="BH99" i="2"/>
  <c r="BH100" i="2" s="1"/>
  <c r="BI99" i="2"/>
  <c r="BI100" i="2" s="1"/>
  <c r="BK99" i="2"/>
  <c r="BK100" i="2" s="1"/>
  <c r="BL99" i="2"/>
  <c r="BL100" i="2" s="1"/>
  <c r="BM99" i="2"/>
  <c r="BM100" i="2" s="1"/>
  <c r="BG101" i="2"/>
  <c r="BO101" i="2" s="1"/>
  <c r="BH101" i="2"/>
  <c r="BI101" i="2"/>
  <c r="BK101" i="2"/>
  <c r="BL101" i="2"/>
  <c r="BM101" i="2"/>
  <c r="BG102" i="2"/>
  <c r="BH102" i="2"/>
  <c r="BI102" i="2"/>
  <c r="BK102" i="2"/>
  <c r="BL102" i="2"/>
  <c r="BM102" i="2"/>
  <c r="BG103" i="2"/>
  <c r="BH103" i="2"/>
  <c r="BI103" i="2"/>
  <c r="BK103" i="2"/>
  <c r="BL103" i="2"/>
  <c r="BM103" i="2"/>
  <c r="BG104" i="2"/>
  <c r="BO104" i="2" s="1"/>
  <c r="BH104" i="2"/>
  <c r="BI104" i="2"/>
  <c r="BK104" i="2"/>
  <c r="BL104" i="2"/>
  <c r="BM104" i="2"/>
  <c r="BG105" i="2"/>
  <c r="BO105" i="2" s="1"/>
  <c r="BH105" i="2"/>
  <c r="BI105" i="2"/>
  <c r="BK105" i="2"/>
  <c r="BL105" i="2"/>
  <c r="BM105" i="2"/>
  <c r="BG106" i="2"/>
  <c r="BP106" i="2" s="1"/>
  <c r="BH106" i="2"/>
  <c r="BI106" i="2"/>
  <c r="BK106" i="2"/>
  <c r="BL106" i="2"/>
  <c r="BM106" i="2"/>
  <c r="BG107" i="2"/>
  <c r="BO107" i="2" s="1"/>
  <c r="BH107" i="2"/>
  <c r="BI107" i="2"/>
  <c r="BK107" i="2"/>
  <c r="BL107" i="2"/>
  <c r="BM107" i="2"/>
  <c r="BG108" i="2"/>
  <c r="B54" i="18" s="1"/>
  <c r="D54" i="18" s="1"/>
  <c r="BH108" i="2"/>
  <c r="BI108" i="2"/>
  <c r="BK108" i="2"/>
  <c r="BL108" i="2"/>
  <c r="BM108" i="2"/>
  <c r="BG109" i="2"/>
  <c r="BP109" i="2" s="1"/>
  <c r="BH109" i="2"/>
  <c r="BI109" i="2"/>
  <c r="BK109" i="2"/>
  <c r="BL109" i="2"/>
  <c r="BM109" i="2"/>
  <c r="BG110" i="2"/>
  <c r="BO110" i="2" s="1"/>
  <c r="BH110" i="2"/>
  <c r="BI110" i="2"/>
  <c r="BK110" i="2"/>
  <c r="BL110" i="2"/>
  <c r="BM110" i="2"/>
  <c r="BG121" i="2"/>
  <c r="BP121" i="2" s="1"/>
  <c r="BH121" i="2"/>
  <c r="BI121" i="2"/>
  <c r="BK121" i="2"/>
  <c r="BL121" i="2"/>
  <c r="BM121" i="2"/>
  <c r="BG122" i="2"/>
  <c r="BH122" i="2"/>
  <c r="BI122" i="2"/>
  <c r="BK122" i="2"/>
  <c r="BL122" i="2"/>
  <c r="BM122" i="2"/>
  <c r="BG123" i="2"/>
  <c r="BO123" i="2" s="1"/>
  <c r="BH123" i="2"/>
  <c r="BI123" i="2"/>
  <c r="BK123" i="2"/>
  <c r="BL123" i="2"/>
  <c r="BM123" i="2"/>
  <c r="BG124" i="2"/>
  <c r="BO124" i="2" s="1"/>
  <c r="BH124" i="2"/>
  <c r="BI124" i="2"/>
  <c r="BK124" i="2"/>
  <c r="BL124" i="2"/>
  <c r="BM124" i="2"/>
  <c r="BG125" i="2"/>
  <c r="BP125" i="2" s="1"/>
  <c r="BH125" i="2"/>
  <c r="BI125" i="2"/>
  <c r="BK125" i="2"/>
  <c r="BL125" i="2"/>
  <c r="BM125" i="2"/>
  <c r="BG126" i="2"/>
  <c r="BP126" i="2" s="1"/>
  <c r="BH126" i="2"/>
  <c r="BI126" i="2"/>
  <c r="BK126" i="2"/>
  <c r="BL126" i="2"/>
  <c r="BM126" i="2"/>
  <c r="BG127" i="2"/>
  <c r="BP127" i="2" s="1"/>
  <c r="BH127" i="2"/>
  <c r="BI127" i="2"/>
  <c r="BK127" i="2"/>
  <c r="BL127" i="2"/>
  <c r="BM127" i="2"/>
  <c r="BG128" i="2"/>
  <c r="BP128" i="2" s="1"/>
  <c r="BH128" i="2"/>
  <c r="BI128" i="2"/>
  <c r="BK128" i="2"/>
  <c r="BL128" i="2"/>
  <c r="BM128" i="2"/>
  <c r="BG129" i="2"/>
  <c r="BO129" i="2" s="1"/>
  <c r="BH129" i="2"/>
  <c r="BI129" i="2"/>
  <c r="BK129" i="2"/>
  <c r="BL129" i="2"/>
  <c r="BM129" i="2"/>
  <c r="BG131" i="2"/>
  <c r="BH131" i="2"/>
  <c r="BI131" i="2"/>
  <c r="BK131" i="2"/>
  <c r="BL131" i="2"/>
  <c r="BM131" i="2"/>
  <c r="BG132" i="2"/>
  <c r="BP132" i="2" s="1"/>
  <c r="BH132" i="2"/>
  <c r="BI132" i="2"/>
  <c r="BK132" i="2"/>
  <c r="BL132" i="2"/>
  <c r="BM132" i="2"/>
  <c r="BG133" i="2"/>
  <c r="BO133" i="2" s="1"/>
  <c r="BH133" i="2"/>
  <c r="BI133" i="2"/>
  <c r="BK133" i="2"/>
  <c r="BL133" i="2"/>
  <c r="BM133" i="2"/>
  <c r="BG134" i="2"/>
  <c r="BH134" i="2"/>
  <c r="BI134" i="2"/>
  <c r="BK134" i="2"/>
  <c r="BL134" i="2"/>
  <c r="BM134" i="2"/>
  <c r="BG135" i="2"/>
  <c r="BO135" i="2" s="1"/>
  <c r="BH135" i="2"/>
  <c r="BI135" i="2"/>
  <c r="BK135" i="2"/>
  <c r="BL135" i="2"/>
  <c r="BM135" i="2"/>
  <c r="BG136" i="2"/>
  <c r="BP136" i="2" s="1"/>
  <c r="BH136" i="2"/>
  <c r="BI136" i="2"/>
  <c r="BK136" i="2"/>
  <c r="BL136" i="2"/>
  <c r="BM136" i="2"/>
  <c r="BG138" i="2"/>
  <c r="BG139" i="2" s="1"/>
  <c r="BO139" i="2" s="1"/>
  <c r="BH138" i="2"/>
  <c r="BI138" i="2"/>
  <c r="BI139" i="2" s="1"/>
  <c r="BK138" i="2"/>
  <c r="BK139" i="2" s="1"/>
  <c r="BL138" i="2"/>
  <c r="BM138" i="2"/>
  <c r="BM139" i="2" s="1"/>
  <c r="BG140" i="2"/>
  <c r="BO140" i="2" s="1"/>
  <c r="BH140" i="2"/>
  <c r="BI140" i="2"/>
  <c r="BK140" i="2"/>
  <c r="BL140" i="2"/>
  <c r="BM140" i="2"/>
  <c r="BG141" i="2"/>
  <c r="B62" i="18" s="1"/>
  <c r="D62" i="18" s="1"/>
  <c r="BH141" i="2"/>
  <c r="BI141" i="2"/>
  <c r="BK141" i="2"/>
  <c r="BL141" i="2"/>
  <c r="BM141" i="2"/>
  <c r="BG142" i="2"/>
  <c r="BO142" i="2" s="1"/>
  <c r="BH142" i="2"/>
  <c r="BI142" i="2"/>
  <c r="BK142" i="2"/>
  <c r="BL142" i="2"/>
  <c r="BM142" i="2"/>
  <c r="BG143" i="2"/>
  <c r="BP143" i="2" s="1"/>
  <c r="BH143" i="2"/>
  <c r="BI143" i="2"/>
  <c r="BK143" i="2"/>
  <c r="BL143" i="2"/>
  <c r="BM143" i="2"/>
  <c r="BG144" i="2"/>
  <c r="BP144" i="2" s="1"/>
  <c r="BH144" i="2"/>
  <c r="BI144" i="2"/>
  <c r="BK144" i="2"/>
  <c r="BL144" i="2"/>
  <c r="BM144" i="2"/>
  <c r="BG145" i="2"/>
  <c r="BP145" i="2" s="1"/>
  <c r="BH145" i="2"/>
  <c r="BI145" i="2"/>
  <c r="BK145" i="2"/>
  <c r="BL145" i="2"/>
  <c r="BM145" i="2"/>
  <c r="BH146" i="2"/>
  <c r="BI146" i="2"/>
  <c r="BK146" i="2"/>
  <c r="BL146" i="2"/>
  <c r="BM146" i="2"/>
  <c r="BG147" i="2"/>
  <c r="B68" i="18" s="1"/>
  <c r="D68" i="18" s="1"/>
  <c r="BH147" i="2"/>
  <c r="BI147" i="2"/>
  <c r="BK147" i="2"/>
  <c r="BL147" i="2"/>
  <c r="BM147" i="2"/>
  <c r="BG148" i="2"/>
  <c r="BO148" i="2" s="1"/>
  <c r="BH148" i="2"/>
  <c r="BI148" i="2"/>
  <c r="BK148" i="2"/>
  <c r="BL148" i="2"/>
  <c r="BM148" i="2"/>
  <c r="BG149" i="2"/>
  <c r="BH149" i="2"/>
  <c r="BI149" i="2"/>
  <c r="BK149" i="2"/>
  <c r="BL149" i="2"/>
  <c r="BM149" i="2"/>
  <c r="AF100" i="2"/>
  <c r="AE100" i="2"/>
  <c r="AD100" i="2"/>
  <c r="AB100" i="2"/>
  <c r="AA100" i="2"/>
  <c r="Z100" i="2"/>
  <c r="Y100" i="2"/>
  <c r="AI100" i="2" s="1"/>
  <c r="AF99" i="2"/>
  <c r="AE99" i="2"/>
  <c r="AD99" i="2"/>
  <c r="AB99" i="2"/>
  <c r="AA99" i="2"/>
  <c r="Z99" i="2"/>
  <c r="Y99" i="2"/>
  <c r="AI99" i="2" s="1"/>
  <c r="AF98" i="2"/>
  <c r="AE98" i="2"/>
  <c r="AD98" i="2"/>
  <c r="AB98" i="2"/>
  <c r="AA98" i="2"/>
  <c r="Z98" i="2"/>
  <c r="Y98" i="2"/>
  <c r="AI98" i="2" s="1"/>
  <c r="AF97" i="2"/>
  <c r="AE97" i="2"/>
  <c r="AD97" i="2"/>
  <c r="AB97" i="2"/>
  <c r="AA97" i="2"/>
  <c r="Z97" i="2"/>
  <c r="Y97" i="2"/>
  <c r="AI97" i="2" s="1"/>
  <c r="AF96" i="2"/>
  <c r="AE96" i="2"/>
  <c r="AD96" i="2"/>
  <c r="AB96" i="2"/>
  <c r="AA96" i="2"/>
  <c r="Y96" i="2"/>
  <c r="AF95" i="2"/>
  <c r="AE95" i="2"/>
  <c r="AD95" i="2"/>
  <c r="AB95" i="2"/>
  <c r="AA95" i="2"/>
  <c r="Z95" i="2"/>
  <c r="Y95" i="2"/>
  <c r="AH95" i="2" s="1"/>
  <c r="AF94" i="2"/>
  <c r="AE94" i="2"/>
  <c r="AD94" i="2"/>
  <c r="AB94" i="2"/>
  <c r="AA94" i="2"/>
  <c r="Z94" i="2"/>
  <c r="Y94" i="2"/>
  <c r="AI94" i="2" s="1"/>
  <c r="AF93" i="2"/>
  <c r="AE93" i="2"/>
  <c r="AD93" i="2"/>
  <c r="AB93" i="2"/>
  <c r="AA93" i="2"/>
  <c r="Z93" i="2"/>
  <c r="Y93" i="2"/>
  <c r="AI93" i="2" s="1"/>
  <c r="AF92" i="2"/>
  <c r="AE92" i="2"/>
  <c r="AD92" i="2"/>
  <c r="AB92" i="2"/>
  <c r="AA92" i="2"/>
  <c r="Z92" i="2"/>
  <c r="Y92" i="2"/>
  <c r="AI92" i="2" s="1"/>
  <c r="AF91" i="2"/>
  <c r="AE91" i="2"/>
  <c r="AD91" i="2"/>
  <c r="AB91" i="2"/>
  <c r="AA91" i="2"/>
  <c r="Z91" i="2"/>
  <c r="Y91" i="2"/>
  <c r="AI91" i="2" s="1"/>
  <c r="AF89" i="2"/>
  <c r="AF90" i="2" s="1"/>
  <c r="AE89" i="2"/>
  <c r="AE90" i="2" s="1"/>
  <c r="AD89" i="2"/>
  <c r="AD90" i="2" s="1"/>
  <c r="AB89" i="2"/>
  <c r="AB90" i="2" s="1"/>
  <c r="AA89" i="2"/>
  <c r="AA90" i="2" s="1"/>
  <c r="Z89" i="2"/>
  <c r="Z90" i="2" s="1"/>
  <c r="Y89" i="2"/>
  <c r="AI89" i="2" s="1"/>
  <c r="AF87" i="2"/>
  <c r="AE87" i="2"/>
  <c r="AD87" i="2"/>
  <c r="AB87" i="2"/>
  <c r="AA87" i="2"/>
  <c r="Z87" i="2"/>
  <c r="Y87" i="2"/>
  <c r="AI87" i="2" s="1"/>
  <c r="AF86" i="2"/>
  <c r="AE86" i="2"/>
  <c r="AD86" i="2"/>
  <c r="AB86" i="2"/>
  <c r="AA86" i="2"/>
  <c r="Z86" i="2"/>
  <c r="Y86" i="2"/>
  <c r="AI86" i="2" s="1"/>
  <c r="AF85" i="2"/>
  <c r="AE85" i="2"/>
  <c r="AD85" i="2"/>
  <c r="AB85" i="2"/>
  <c r="AA85" i="2"/>
  <c r="Z85" i="2"/>
  <c r="Y85" i="2"/>
  <c r="AH85" i="2" s="1"/>
  <c r="AF84" i="2"/>
  <c r="AE84" i="2"/>
  <c r="AD84" i="2"/>
  <c r="AB84" i="2"/>
  <c r="AA84" i="2"/>
  <c r="Z84" i="2"/>
  <c r="Y84" i="2"/>
  <c r="AF83" i="2"/>
  <c r="AE83" i="2"/>
  <c r="AD83" i="2"/>
  <c r="AB83" i="2"/>
  <c r="AA83" i="2"/>
  <c r="Z83" i="2"/>
  <c r="Y83" i="2"/>
  <c r="AF82" i="2"/>
  <c r="AE82" i="2"/>
  <c r="AD82" i="2"/>
  <c r="AB82" i="2"/>
  <c r="AA82" i="2"/>
  <c r="Z82" i="2"/>
  <c r="Y82" i="2"/>
  <c r="AI82" i="2" s="1"/>
  <c r="AF80" i="2"/>
  <c r="AE80" i="2"/>
  <c r="AD80" i="2"/>
  <c r="AB80" i="2"/>
  <c r="AA80" i="2"/>
  <c r="Z80" i="2"/>
  <c r="Y80" i="2"/>
  <c r="AI80" i="2" s="1"/>
  <c r="AF79" i="2"/>
  <c r="AE79" i="2"/>
  <c r="AD79" i="2"/>
  <c r="AB79" i="2"/>
  <c r="AA79" i="2"/>
  <c r="Z79" i="2"/>
  <c r="Y79" i="2"/>
  <c r="AF78" i="2"/>
  <c r="AE78" i="2"/>
  <c r="AD78" i="2"/>
  <c r="AB78" i="2"/>
  <c r="AA78" i="2"/>
  <c r="Z78" i="2"/>
  <c r="Y78" i="2"/>
  <c r="AI78" i="2" s="1"/>
  <c r="AF77" i="2"/>
  <c r="AE77" i="2"/>
  <c r="AD77" i="2"/>
  <c r="AB77" i="2"/>
  <c r="AA77" i="2"/>
  <c r="Z77" i="2"/>
  <c r="Y77" i="2"/>
  <c r="AF76" i="2"/>
  <c r="AE76" i="2"/>
  <c r="AD76" i="2"/>
  <c r="AB76" i="2"/>
  <c r="AA76" i="2"/>
  <c r="Z76" i="2"/>
  <c r="Y76" i="2"/>
  <c r="AI76" i="2" s="1"/>
  <c r="AF75" i="2"/>
  <c r="AE75" i="2"/>
  <c r="AD75" i="2"/>
  <c r="AB75" i="2"/>
  <c r="AA75" i="2"/>
  <c r="Z75" i="2"/>
  <c r="Y75" i="2"/>
  <c r="AI75" i="2" s="1"/>
  <c r="AF74" i="2"/>
  <c r="AE74" i="2"/>
  <c r="AD74" i="2"/>
  <c r="AB74" i="2"/>
  <c r="AA74" i="2"/>
  <c r="Z74" i="2"/>
  <c r="Y74" i="2"/>
  <c r="AF73" i="2"/>
  <c r="AE73" i="2"/>
  <c r="AD73" i="2"/>
  <c r="AB73" i="2"/>
  <c r="AA73" i="2"/>
  <c r="Z73" i="2"/>
  <c r="Y73" i="2"/>
  <c r="AI73" i="2" s="1"/>
  <c r="AF72" i="2"/>
  <c r="AE72" i="2"/>
  <c r="AD72" i="2"/>
  <c r="AB72" i="2"/>
  <c r="AA72" i="2"/>
  <c r="Z72" i="2"/>
  <c r="Y72" i="2"/>
  <c r="AI72" i="2" s="1"/>
  <c r="AF66" i="2"/>
  <c r="AE66" i="2"/>
  <c r="AD66" i="2"/>
  <c r="AB66" i="2"/>
  <c r="AA66" i="2"/>
  <c r="Y66" i="2"/>
  <c r="AI66" i="2" s="1"/>
  <c r="AF65" i="2"/>
  <c r="AE65" i="2"/>
  <c r="AD65" i="2"/>
  <c r="AB65" i="2"/>
  <c r="AA65" i="2"/>
  <c r="Z65" i="2"/>
  <c r="Y65" i="2"/>
  <c r="AF64" i="2"/>
  <c r="AE64" i="2"/>
  <c r="AD64" i="2"/>
  <c r="AB64" i="2"/>
  <c r="AA64" i="2"/>
  <c r="Z64" i="2"/>
  <c r="Y64" i="2"/>
  <c r="AI64" i="2" s="1"/>
  <c r="AF63" i="2"/>
  <c r="AE63" i="2"/>
  <c r="AD63" i="2"/>
  <c r="AB63" i="2"/>
  <c r="AA63" i="2"/>
  <c r="Z63" i="2"/>
  <c r="Y63" i="2"/>
  <c r="AI63" i="2" s="1"/>
  <c r="AF62" i="2"/>
  <c r="AE62" i="2"/>
  <c r="AD62" i="2"/>
  <c r="AB62" i="2"/>
  <c r="AA62" i="2"/>
  <c r="Y62" i="2"/>
  <c r="AF61" i="2"/>
  <c r="AE61" i="2"/>
  <c r="AD61" i="2"/>
  <c r="AB61" i="2"/>
  <c r="AA61" i="2"/>
  <c r="Z61" i="2"/>
  <c r="Y61" i="2"/>
  <c r="AI61" i="2" s="1"/>
  <c r="AF60" i="2"/>
  <c r="AE60" i="2"/>
  <c r="AD60" i="2"/>
  <c r="AB60" i="2"/>
  <c r="AA60" i="2"/>
  <c r="Z60" i="2"/>
  <c r="Y60" i="2"/>
  <c r="AF59" i="2"/>
  <c r="AE59" i="2"/>
  <c r="AD59" i="2"/>
  <c r="AB59" i="2"/>
  <c r="AA59" i="2"/>
  <c r="Z59" i="2"/>
  <c r="Y59" i="2"/>
  <c r="AF58" i="2"/>
  <c r="AE58" i="2"/>
  <c r="AD58" i="2"/>
  <c r="AB58" i="2"/>
  <c r="AA58" i="2"/>
  <c r="Z58" i="2"/>
  <c r="Y58" i="2"/>
  <c r="AI58" i="2" s="1"/>
  <c r="AF57" i="2"/>
  <c r="AE57" i="2"/>
  <c r="AD57" i="2"/>
  <c r="AB57" i="2"/>
  <c r="AA57" i="2"/>
  <c r="Z57" i="2"/>
  <c r="Y57" i="2"/>
  <c r="AI57" i="2" s="1"/>
  <c r="AF55" i="2"/>
  <c r="AF56" i="2" s="1"/>
  <c r="AE55" i="2"/>
  <c r="AE56" i="2" s="1"/>
  <c r="AD55" i="2"/>
  <c r="AD56" i="2" s="1"/>
  <c r="AB55" i="2"/>
  <c r="AB56" i="2" s="1"/>
  <c r="AA55" i="2"/>
  <c r="Z55" i="2"/>
  <c r="Z56" i="2" s="1"/>
  <c r="Y55" i="2"/>
  <c r="AF53" i="2"/>
  <c r="AE53" i="2"/>
  <c r="AD53" i="2"/>
  <c r="AB53" i="2"/>
  <c r="AA53" i="2"/>
  <c r="Z53" i="2"/>
  <c r="Y53" i="2"/>
  <c r="AI53" i="2" s="1"/>
  <c r="AF52" i="2"/>
  <c r="AE52" i="2"/>
  <c r="AD52" i="2"/>
  <c r="AB52" i="2"/>
  <c r="AA52" i="2"/>
  <c r="Z52" i="2"/>
  <c r="Y52" i="2"/>
  <c r="AF51" i="2"/>
  <c r="AE51" i="2"/>
  <c r="AD51" i="2"/>
  <c r="AB51" i="2"/>
  <c r="AA51" i="2"/>
  <c r="Z51" i="2"/>
  <c r="Y51" i="2"/>
  <c r="AI51" i="2" s="1"/>
  <c r="AF50" i="2"/>
  <c r="AE50" i="2"/>
  <c r="AD50" i="2"/>
  <c r="AB50" i="2"/>
  <c r="AA50" i="2"/>
  <c r="Z50" i="2"/>
  <c r="Y50" i="2"/>
  <c r="AI50" i="2" s="1"/>
  <c r="AF49" i="2"/>
  <c r="AE49" i="2"/>
  <c r="AD49" i="2"/>
  <c r="AB49" i="2"/>
  <c r="AA49" i="2"/>
  <c r="Z49" i="2"/>
  <c r="Y49" i="2"/>
  <c r="AF48" i="2"/>
  <c r="AE48" i="2"/>
  <c r="AD48" i="2"/>
  <c r="AB48" i="2"/>
  <c r="AA48" i="2"/>
  <c r="Z48" i="2"/>
  <c r="Y48" i="2"/>
  <c r="AI48" i="2" s="1"/>
  <c r="AF46" i="2"/>
  <c r="AE46" i="2"/>
  <c r="AD46" i="2"/>
  <c r="AB46" i="2"/>
  <c r="AA46" i="2"/>
  <c r="Z46" i="2"/>
  <c r="Y46" i="2"/>
  <c r="AH46" i="2" s="1"/>
  <c r="AF45" i="2"/>
  <c r="AE45" i="2"/>
  <c r="AD45" i="2"/>
  <c r="AB45" i="2"/>
  <c r="AA45" i="2"/>
  <c r="Z45" i="2"/>
  <c r="Y45" i="2"/>
  <c r="AI45" i="2" s="1"/>
  <c r="AF44" i="2"/>
  <c r="AE44" i="2"/>
  <c r="AD44" i="2"/>
  <c r="AB44" i="2"/>
  <c r="AA44" i="2"/>
  <c r="Z44" i="2"/>
  <c r="Y44" i="2"/>
  <c r="AF43" i="2"/>
  <c r="AE43" i="2"/>
  <c r="AD43" i="2"/>
  <c r="AB43" i="2"/>
  <c r="AA43" i="2"/>
  <c r="Z43" i="2"/>
  <c r="Y43" i="2"/>
  <c r="AI43" i="2" s="1"/>
  <c r="AF42" i="2"/>
  <c r="AE42" i="2"/>
  <c r="AD42" i="2"/>
  <c r="AB42" i="2"/>
  <c r="AA42" i="2"/>
  <c r="Z42" i="2"/>
  <c r="Y42" i="2"/>
  <c r="AI42" i="2" s="1"/>
  <c r="AF41" i="2"/>
  <c r="AE41" i="2"/>
  <c r="AD41" i="2"/>
  <c r="AB41" i="2"/>
  <c r="AA41" i="2"/>
  <c r="Z41" i="2"/>
  <c r="Y41" i="2"/>
  <c r="AF40" i="2"/>
  <c r="AE40" i="2"/>
  <c r="AD40" i="2"/>
  <c r="AB40" i="2"/>
  <c r="AA40" i="2"/>
  <c r="Z40" i="2"/>
  <c r="Y40" i="2"/>
  <c r="AI40" i="2" s="1"/>
  <c r="AF39" i="2"/>
  <c r="AE39" i="2"/>
  <c r="AD39" i="2"/>
  <c r="AB39" i="2"/>
  <c r="AA39" i="2"/>
  <c r="Z39" i="2"/>
  <c r="Y39" i="2"/>
  <c r="AF38" i="2"/>
  <c r="AE38" i="2"/>
  <c r="AD38" i="2"/>
  <c r="AB38" i="2"/>
  <c r="AA38" i="2"/>
  <c r="Z38" i="2"/>
  <c r="Y38" i="2"/>
  <c r="AF32" i="2"/>
  <c r="AE32" i="2"/>
  <c r="AD32" i="2"/>
  <c r="AB32" i="2"/>
  <c r="AA32" i="2"/>
  <c r="Z32" i="2"/>
  <c r="Y32" i="2"/>
  <c r="AI32" i="2" s="1"/>
  <c r="AF31" i="2"/>
  <c r="AE31" i="2"/>
  <c r="AD31" i="2"/>
  <c r="AB31" i="2"/>
  <c r="AA31" i="2"/>
  <c r="Z31" i="2"/>
  <c r="Y31" i="2"/>
  <c r="AF30" i="2"/>
  <c r="AE30" i="2"/>
  <c r="AD30" i="2"/>
  <c r="AB30" i="2"/>
  <c r="AA30" i="2"/>
  <c r="Z30" i="2"/>
  <c r="Y30" i="2"/>
  <c r="AH30" i="2" s="1"/>
  <c r="AF29" i="2"/>
  <c r="AE29" i="2"/>
  <c r="AD29" i="2"/>
  <c r="AB29" i="2"/>
  <c r="AA29" i="2"/>
  <c r="Z29" i="2"/>
  <c r="Y29" i="2"/>
  <c r="AI29" i="2" s="1"/>
  <c r="AF28" i="2"/>
  <c r="AE28" i="2"/>
  <c r="AD28" i="2"/>
  <c r="AB28" i="2"/>
  <c r="AA28" i="2"/>
  <c r="Z28" i="2"/>
  <c r="Y28" i="2"/>
  <c r="AF27" i="2"/>
  <c r="AE27" i="2"/>
  <c r="AD27" i="2"/>
  <c r="AB27" i="2"/>
  <c r="AA27" i="2"/>
  <c r="Z27" i="2"/>
  <c r="Y27" i="2"/>
  <c r="AI27" i="2" s="1"/>
  <c r="AF26" i="2"/>
  <c r="AE26" i="2"/>
  <c r="AD26" i="2"/>
  <c r="AB26" i="2"/>
  <c r="AA26" i="2"/>
  <c r="Z26" i="2"/>
  <c r="Y26" i="2"/>
  <c r="AF25" i="2"/>
  <c r="AE25" i="2"/>
  <c r="AD25" i="2"/>
  <c r="AB25" i="2"/>
  <c r="AA25" i="2"/>
  <c r="Z25" i="2"/>
  <c r="Y25" i="2"/>
  <c r="AH25" i="2" s="1"/>
  <c r="AF24" i="2"/>
  <c r="AE24" i="2"/>
  <c r="AD24" i="2"/>
  <c r="AB24" i="2"/>
  <c r="AA24" i="2"/>
  <c r="Z24" i="2"/>
  <c r="Y24" i="2"/>
  <c r="AI24" i="2" s="1"/>
  <c r="AF23" i="2"/>
  <c r="AE23" i="2"/>
  <c r="AB23" i="2"/>
  <c r="AA23" i="2"/>
  <c r="Z23" i="2"/>
  <c r="Y23" i="2"/>
  <c r="AF21" i="2"/>
  <c r="AF22" i="2" s="1"/>
  <c r="AE21" i="2"/>
  <c r="AE22" i="2" s="1"/>
  <c r="AD21" i="2"/>
  <c r="AD22" i="2" s="1"/>
  <c r="AB21" i="2"/>
  <c r="AB22" i="2" s="1"/>
  <c r="AA21" i="2"/>
  <c r="AA22" i="2" s="1"/>
  <c r="Z21" i="2"/>
  <c r="Z22" i="2" s="1"/>
  <c r="Y21" i="2"/>
  <c r="AF19" i="2"/>
  <c r="AE19" i="2"/>
  <c r="AD19" i="2"/>
  <c r="AB19" i="2"/>
  <c r="AA19" i="2"/>
  <c r="Z19" i="2"/>
  <c r="Y19" i="2"/>
  <c r="AI19" i="2" s="1"/>
  <c r="AF18" i="2"/>
  <c r="AE18" i="2"/>
  <c r="AD18" i="2"/>
  <c r="AB18" i="2"/>
  <c r="AA18" i="2"/>
  <c r="Z18" i="2"/>
  <c r="Y18" i="2"/>
  <c r="AF17" i="2"/>
  <c r="AE17" i="2"/>
  <c r="AD17" i="2"/>
  <c r="AB17" i="2"/>
  <c r="AA17" i="2"/>
  <c r="Z17" i="2"/>
  <c r="Y17" i="2"/>
  <c r="AI17" i="2" s="1"/>
  <c r="AF16" i="2"/>
  <c r="AE16" i="2"/>
  <c r="AD16" i="2"/>
  <c r="AB16" i="2"/>
  <c r="AA16" i="2"/>
  <c r="Z16" i="2"/>
  <c r="Y16" i="2"/>
  <c r="AF15" i="2"/>
  <c r="AE15" i="2"/>
  <c r="AD15" i="2"/>
  <c r="AB15" i="2"/>
  <c r="AA15" i="2"/>
  <c r="Z15" i="2"/>
  <c r="Y15" i="2"/>
  <c r="AH15" i="2" s="1"/>
  <c r="AF14" i="2"/>
  <c r="AE14" i="2"/>
  <c r="AD14" i="2"/>
  <c r="AB14" i="2"/>
  <c r="AA14" i="2"/>
  <c r="Z14" i="2"/>
  <c r="Y14" i="2"/>
  <c r="AI14" i="2" s="1"/>
  <c r="AF12" i="2"/>
  <c r="AE12" i="2"/>
  <c r="AD12" i="2"/>
  <c r="AB12" i="2"/>
  <c r="AA12" i="2"/>
  <c r="Z12" i="2"/>
  <c r="Y12" i="2"/>
  <c r="AI12" i="2" s="1"/>
  <c r="AF11" i="2"/>
  <c r="AE11" i="2"/>
  <c r="AD11" i="2"/>
  <c r="AB11" i="2"/>
  <c r="AA11" i="2"/>
  <c r="Z11" i="2"/>
  <c r="Y11" i="2"/>
  <c r="AI11" i="2" s="1"/>
  <c r="AF10" i="2"/>
  <c r="AE10" i="2"/>
  <c r="AD10" i="2"/>
  <c r="AB10" i="2"/>
  <c r="AA10" i="2"/>
  <c r="Z10" i="2"/>
  <c r="Y10" i="2"/>
  <c r="AF9" i="2"/>
  <c r="AE9" i="2"/>
  <c r="AB9" i="2"/>
  <c r="AA9" i="2"/>
  <c r="Z9" i="2"/>
  <c r="Y9" i="2"/>
  <c r="AF8" i="2"/>
  <c r="AE8" i="2"/>
  <c r="AD8" i="2"/>
  <c r="AB8" i="2"/>
  <c r="AA8" i="2"/>
  <c r="Z8" i="2"/>
  <c r="Y8" i="2"/>
  <c r="AI8" i="2" s="1"/>
  <c r="AF7" i="2"/>
  <c r="AE7" i="2"/>
  <c r="AD7" i="2"/>
  <c r="AB7" i="2"/>
  <c r="AA7" i="2"/>
  <c r="Z7" i="2"/>
  <c r="Y7" i="2"/>
  <c r="AI7" i="2" s="1"/>
  <c r="AF6" i="2"/>
  <c r="AE6" i="2"/>
  <c r="AD6" i="2"/>
  <c r="AB6" i="2"/>
  <c r="AA6" i="2"/>
  <c r="Z6" i="2"/>
  <c r="Y6" i="2"/>
  <c r="AI6" i="2" s="1"/>
  <c r="AF5" i="2"/>
  <c r="AE5" i="2"/>
  <c r="AD5" i="2"/>
  <c r="AB5" i="2"/>
  <c r="AA5" i="2"/>
  <c r="Z5" i="2"/>
  <c r="Y5" i="2"/>
  <c r="AH5" i="2" s="1"/>
  <c r="AF4" i="2"/>
  <c r="AE4" i="2"/>
  <c r="AD4" i="2"/>
  <c r="AB4" i="2"/>
  <c r="AA4" i="2"/>
  <c r="Z4" i="2"/>
  <c r="Y4" i="2"/>
  <c r="H5" i="1"/>
  <c r="BQ6" i="2"/>
  <c r="AT11" i="2"/>
  <c r="AT19" i="2"/>
  <c r="AY128" i="2"/>
  <c r="BP6" i="2"/>
  <c r="BO103" i="2"/>
  <c r="AY16" i="2"/>
  <c r="AY116" i="2"/>
  <c r="AY32" i="2"/>
  <c r="AY25" i="2"/>
  <c r="AY14" i="2"/>
  <c r="BK4" i="2"/>
  <c r="BK14" i="2"/>
  <c r="BQ4" i="2"/>
  <c r="BS57" i="2"/>
  <c r="CA57" i="2" s="1"/>
  <c r="F326" i="2"/>
  <c r="J326" i="2" s="1"/>
  <c r="F325" i="2"/>
  <c r="J325" i="2" s="1"/>
  <c r="F324" i="2"/>
  <c r="J324" i="2" s="1"/>
  <c r="F323" i="2"/>
  <c r="J323" i="2" s="1"/>
  <c r="F322" i="2"/>
  <c r="J322" i="2" s="1"/>
  <c r="F321" i="2"/>
  <c r="J321" i="2" s="1"/>
  <c r="F320" i="2"/>
  <c r="J320" i="2" s="1"/>
  <c r="F319" i="2"/>
  <c r="J319" i="2" s="1"/>
  <c r="F318" i="2"/>
  <c r="J318" i="2" s="1"/>
  <c r="F317" i="2"/>
  <c r="J317" i="2" s="1"/>
  <c r="F316" i="2"/>
  <c r="J316" i="2" s="1"/>
  <c r="F315" i="2"/>
  <c r="J315" i="2" s="1"/>
  <c r="F314" i="2"/>
  <c r="J314" i="2" s="1"/>
  <c r="F313" i="2"/>
  <c r="J313" i="2" s="1"/>
  <c r="F312" i="2"/>
  <c r="J312" i="2" s="1"/>
  <c r="F311" i="2"/>
  <c r="J311" i="2" s="1"/>
  <c r="F310" i="2"/>
  <c r="J310" i="2" s="1"/>
  <c r="F309" i="2"/>
  <c r="J309" i="2" s="1"/>
  <c r="F308" i="2"/>
  <c r="J308" i="2" s="1"/>
  <c r="F307" i="2"/>
  <c r="J307" i="2" s="1"/>
  <c r="F306" i="2"/>
  <c r="J306" i="2" s="1"/>
  <c r="F305" i="2"/>
  <c r="J305" i="2" s="1"/>
  <c r="R5" i="6"/>
  <c r="I8" i="7"/>
  <c r="I4" i="1"/>
  <c r="L13" i="1"/>
  <c r="J10" i="2"/>
  <c r="K10" i="2" s="1"/>
  <c r="E17" i="10"/>
  <c r="F17" i="10"/>
  <c r="J28" i="2"/>
  <c r="K28" i="2" s="1"/>
  <c r="N12" i="6"/>
  <c r="M12" i="6"/>
  <c r="Q11" i="6"/>
  <c r="Q10" i="6"/>
  <c r="Q9" i="6"/>
  <c r="Q8" i="6"/>
  <c r="R11" i="6"/>
  <c r="R10" i="6"/>
  <c r="R9" i="6"/>
  <c r="R8" i="6"/>
  <c r="R7" i="6"/>
  <c r="P12" i="6"/>
  <c r="O12" i="6"/>
  <c r="L12" i="6"/>
  <c r="K12" i="6"/>
  <c r="J12" i="6"/>
  <c r="I12" i="6"/>
  <c r="H12" i="6"/>
  <c r="G12" i="6"/>
  <c r="Q12" i="6" s="1"/>
  <c r="C17" i="20" s="1"/>
  <c r="F12" i="6"/>
  <c r="J10" i="8"/>
  <c r="U10" i="8" s="1"/>
  <c r="I20" i="8"/>
  <c r="H20" i="8"/>
  <c r="G20" i="8"/>
  <c r="F20" i="8"/>
  <c r="I7" i="8"/>
  <c r="H7" i="8"/>
  <c r="G7" i="8"/>
  <c r="F7" i="8"/>
  <c r="K6" i="8"/>
  <c r="J6" i="8"/>
  <c r="U6" i="8"/>
  <c r="K5" i="8"/>
  <c r="J5" i="8"/>
  <c r="U5" i="8" s="1"/>
  <c r="K4" i="8"/>
  <c r="J4" i="8"/>
  <c r="U4" i="8"/>
  <c r="N4" i="9"/>
  <c r="F4" i="9"/>
  <c r="BS43" i="2"/>
  <c r="CA43" i="2" s="1"/>
  <c r="K7" i="8"/>
  <c r="J7" i="8"/>
  <c r="U7" i="8" s="1"/>
  <c r="J281" i="2"/>
  <c r="K281" i="2" s="1"/>
  <c r="J280" i="2"/>
  <c r="K280" i="2" s="1"/>
  <c r="J279" i="2"/>
  <c r="K279" i="2" s="1"/>
  <c r="J278" i="2"/>
  <c r="K278" i="2" s="1"/>
  <c r="J277" i="2"/>
  <c r="K277" i="2" s="1"/>
  <c r="J276" i="2"/>
  <c r="K276" i="2" s="1"/>
  <c r="J275" i="2"/>
  <c r="K275" i="2" s="1"/>
  <c r="J274" i="2"/>
  <c r="K274" i="2" s="1"/>
  <c r="J273" i="2"/>
  <c r="K273" i="2" s="1"/>
  <c r="J272" i="2"/>
  <c r="K272" i="2" s="1"/>
  <c r="J271" i="2"/>
  <c r="K271" i="2" s="1"/>
  <c r="J270" i="2"/>
  <c r="K270" i="2" s="1"/>
  <c r="J269" i="2"/>
  <c r="K269" i="2" s="1"/>
  <c r="J268" i="2"/>
  <c r="K268" i="2" s="1"/>
  <c r="J267" i="2"/>
  <c r="K267" i="2" s="1"/>
  <c r="J266" i="2"/>
  <c r="K266" i="2" s="1"/>
  <c r="J265" i="2"/>
  <c r="K265" i="2" s="1"/>
  <c r="J264" i="2"/>
  <c r="K264" i="2" s="1"/>
  <c r="J263" i="2"/>
  <c r="K263" i="2" s="1"/>
  <c r="J262" i="2"/>
  <c r="K262" i="2" s="1"/>
  <c r="J261" i="2"/>
  <c r="K261" i="2" s="1"/>
  <c r="J260" i="2"/>
  <c r="K260" i="2" s="1"/>
  <c r="J259" i="2"/>
  <c r="K259" i="2" s="1"/>
  <c r="J258" i="2"/>
  <c r="K258" i="2" s="1"/>
  <c r="J257" i="2"/>
  <c r="K257" i="2" s="1"/>
  <c r="J253" i="2"/>
  <c r="K253" i="2" s="1"/>
  <c r="J252" i="2"/>
  <c r="K252" i="2" s="1"/>
  <c r="J251" i="2"/>
  <c r="K251" i="2" s="1"/>
  <c r="J250" i="2"/>
  <c r="K250" i="2" s="1"/>
  <c r="J249" i="2"/>
  <c r="J248" i="2"/>
  <c r="K248" i="2" s="1"/>
  <c r="J247" i="2"/>
  <c r="K247" i="2" s="1"/>
  <c r="J246" i="2"/>
  <c r="K246" i="2" s="1"/>
  <c r="J245" i="2"/>
  <c r="K245" i="2" s="1"/>
  <c r="J244" i="2"/>
  <c r="J243" i="2"/>
  <c r="K243" i="2" s="1"/>
  <c r="J242" i="2"/>
  <c r="K242" i="2" s="1"/>
  <c r="J241" i="2"/>
  <c r="K241" i="2" s="1"/>
  <c r="J240" i="2"/>
  <c r="K240" i="2" s="1"/>
  <c r="J239" i="2"/>
  <c r="K239" i="2" s="1"/>
  <c r="J238" i="2"/>
  <c r="K238" i="2" s="1"/>
  <c r="J237" i="2"/>
  <c r="K237" i="2" s="1"/>
  <c r="J236" i="2"/>
  <c r="K236" i="2" s="1"/>
  <c r="J235" i="2"/>
  <c r="K235" i="2" s="1"/>
  <c r="J234" i="2"/>
  <c r="K234" i="2" s="1"/>
  <c r="J233" i="2"/>
  <c r="K233" i="2" s="1"/>
  <c r="J232" i="2"/>
  <c r="K232" i="2" s="1"/>
  <c r="J231" i="2"/>
  <c r="K231" i="2" s="1"/>
  <c r="J230" i="2"/>
  <c r="K230" i="2" s="1"/>
  <c r="J229" i="2"/>
  <c r="K229" i="2" s="1"/>
  <c r="J228" i="2"/>
  <c r="K228" i="2" s="1"/>
  <c r="J227" i="2"/>
  <c r="K227" i="2" s="1"/>
  <c r="J226" i="2"/>
  <c r="K226" i="2" s="1"/>
  <c r="J225" i="2"/>
  <c r="J224" i="2"/>
  <c r="K224" i="2" s="1"/>
  <c r="J223" i="2"/>
  <c r="K223" i="2" s="1"/>
  <c r="J222" i="2"/>
  <c r="K222" i="2" s="1"/>
  <c r="J221" i="2"/>
  <c r="K221" i="2" s="1"/>
  <c r="J220" i="2"/>
  <c r="J219" i="2"/>
  <c r="K219" i="2" s="1"/>
  <c r="J218" i="2"/>
  <c r="K218" i="2" s="1"/>
  <c r="J217" i="2"/>
  <c r="K217" i="2" s="1"/>
  <c r="J216" i="2"/>
  <c r="K216" i="2" s="1"/>
  <c r="J215" i="2"/>
  <c r="K215" i="2" s="1"/>
  <c r="J214" i="2"/>
  <c r="K214" i="2" s="1"/>
  <c r="J213" i="2"/>
  <c r="K213" i="2" s="1"/>
  <c r="J212" i="2"/>
  <c r="K212" i="2" s="1"/>
  <c r="J211" i="2"/>
  <c r="K211" i="2" s="1"/>
  <c r="J210" i="2"/>
  <c r="K210" i="2" s="1"/>
  <c r="J209" i="2"/>
  <c r="J208" i="2"/>
  <c r="K208" i="2" s="1"/>
  <c r="J207" i="2"/>
  <c r="K207" i="2" s="1"/>
  <c r="J206" i="2"/>
  <c r="J205" i="2"/>
  <c r="K205" i="2" s="1"/>
  <c r="J204" i="2"/>
  <c r="K204" i="2" s="1"/>
  <c r="J203" i="2"/>
  <c r="K203" i="2" s="1"/>
  <c r="J202" i="2"/>
  <c r="K202" i="2" s="1"/>
  <c r="J201" i="2"/>
  <c r="K201" i="2" s="1"/>
  <c r="J200" i="2"/>
  <c r="J199" i="2"/>
  <c r="K199" i="2" s="1"/>
  <c r="J198" i="2"/>
  <c r="J197" i="2"/>
  <c r="K197" i="2" s="1"/>
  <c r="J196" i="2"/>
  <c r="J195" i="2"/>
  <c r="K195" i="2" s="1"/>
  <c r="J194" i="2"/>
  <c r="K194" i="2" s="1"/>
  <c r="J193" i="2"/>
  <c r="J192" i="2"/>
  <c r="K192" i="2" s="1"/>
  <c r="J191" i="2"/>
  <c r="K191" i="2" s="1"/>
  <c r="J190" i="2"/>
  <c r="K190" i="2" s="1"/>
  <c r="J189" i="2"/>
  <c r="K189" i="2" s="1"/>
  <c r="J188" i="2"/>
  <c r="K188" i="2" s="1"/>
  <c r="J187" i="2"/>
  <c r="K187" i="2" s="1"/>
  <c r="J186" i="2"/>
  <c r="K186" i="2" s="1"/>
  <c r="J185" i="2"/>
  <c r="K185" i="2" s="1"/>
  <c r="J184" i="2"/>
  <c r="K184" i="2" s="1"/>
  <c r="J183" i="2"/>
  <c r="K183" i="2" s="1"/>
  <c r="J182" i="2"/>
  <c r="J181" i="2"/>
  <c r="K181" i="2" s="1"/>
  <c r="J180" i="2"/>
  <c r="K180" i="2" s="1"/>
  <c r="J179" i="2"/>
  <c r="K179" i="2" s="1"/>
  <c r="J178" i="2"/>
  <c r="K178" i="2" s="1"/>
  <c r="J177" i="2"/>
  <c r="J176" i="2"/>
  <c r="K176" i="2" s="1"/>
  <c r="J175" i="2"/>
  <c r="K175" i="2" s="1"/>
  <c r="J174" i="2"/>
  <c r="K174" i="2" s="1"/>
  <c r="J173" i="2"/>
  <c r="K173" i="2" s="1"/>
  <c r="J172" i="2"/>
  <c r="K172" i="2" s="1"/>
  <c r="J171" i="2"/>
  <c r="K171" i="2" s="1"/>
  <c r="J170" i="2"/>
  <c r="K170" i="2" s="1"/>
  <c r="J169" i="2"/>
  <c r="K169" i="2" s="1"/>
  <c r="J168" i="2"/>
  <c r="K168" i="2" s="1"/>
  <c r="J167" i="2"/>
  <c r="K167" i="2" s="1"/>
  <c r="J166" i="2"/>
  <c r="K166" i="2" s="1"/>
  <c r="J165" i="2"/>
  <c r="K165" i="2" s="1"/>
  <c r="J164" i="2"/>
  <c r="K164" i="2" s="1"/>
  <c r="J163" i="2"/>
  <c r="K163" i="2" s="1"/>
  <c r="J162" i="2"/>
  <c r="K162" i="2" s="1"/>
  <c r="J161" i="2"/>
  <c r="K161" i="2" s="1"/>
  <c r="J160" i="2"/>
  <c r="K160" i="2" s="1"/>
  <c r="J159" i="2"/>
  <c r="K159" i="2" s="1"/>
  <c r="J158" i="2"/>
  <c r="K158" i="2" s="1"/>
  <c r="J157" i="2"/>
  <c r="K157" i="2" s="1"/>
  <c r="J156" i="2"/>
  <c r="K156" i="2" s="1"/>
  <c r="J155" i="2"/>
  <c r="K155" i="2" s="1"/>
  <c r="J154" i="2"/>
  <c r="K154" i="2" s="1"/>
  <c r="J153" i="2"/>
  <c r="K153" i="2" s="1"/>
  <c r="J152" i="2"/>
  <c r="K152" i="2" s="1"/>
  <c r="J151" i="2"/>
  <c r="K151" i="2" s="1"/>
  <c r="J150" i="2"/>
  <c r="J149" i="2"/>
  <c r="K149" i="2" s="1"/>
  <c r="J148" i="2"/>
  <c r="K148" i="2" s="1"/>
  <c r="J147" i="2"/>
  <c r="K147" i="2" s="1"/>
  <c r="J146" i="2"/>
  <c r="K146" i="2" s="1"/>
  <c r="J145" i="2"/>
  <c r="K145" i="2" s="1"/>
  <c r="J144" i="2"/>
  <c r="K144" i="2" s="1"/>
  <c r="J143" i="2"/>
  <c r="K143" i="2" s="1"/>
  <c r="J142" i="2"/>
  <c r="K142" i="2" s="1"/>
  <c r="J141" i="2"/>
  <c r="K141" i="2" s="1"/>
  <c r="J140" i="2"/>
  <c r="K140" i="2" s="1"/>
  <c r="J139" i="2"/>
  <c r="K139" i="2" s="1"/>
  <c r="J138" i="2"/>
  <c r="K138" i="2" s="1"/>
  <c r="J137" i="2"/>
  <c r="K137" i="2" s="1"/>
  <c r="J136" i="2"/>
  <c r="J135" i="2"/>
  <c r="K135" i="2" s="1"/>
  <c r="J134" i="2"/>
  <c r="K134" i="2" s="1"/>
  <c r="J133" i="2"/>
  <c r="K133" i="2" s="1"/>
  <c r="J132" i="2"/>
  <c r="K132" i="2" s="1"/>
  <c r="J131" i="2"/>
  <c r="K131" i="2" s="1"/>
  <c r="J130" i="2"/>
  <c r="K130" i="2" s="1"/>
  <c r="J129" i="2"/>
  <c r="K129" i="2" s="1"/>
  <c r="J128" i="2"/>
  <c r="K128" i="2" s="1"/>
  <c r="J127" i="2"/>
  <c r="K127" i="2" s="1"/>
  <c r="J126" i="2"/>
  <c r="K126" i="2" s="1"/>
  <c r="J125" i="2"/>
  <c r="K125" i="2" s="1"/>
  <c r="J124" i="2"/>
  <c r="K124" i="2" s="1"/>
  <c r="J123" i="2"/>
  <c r="K123" i="2" s="1"/>
  <c r="J122" i="2"/>
  <c r="K122" i="2" s="1"/>
  <c r="J121" i="2"/>
  <c r="K121" i="2" s="1"/>
  <c r="J120" i="2"/>
  <c r="K120" i="2" s="1"/>
  <c r="J119" i="2"/>
  <c r="K119" i="2" s="1"/>
  <c r="J118" i="2"/>
  <c r="K118" i="2" s="1"/>
  <c r="J117" i="2"/>
  <c r="K117" i="2" s="1"/>
  <c r="J116" i="2"/>
  <c r="K116" i="2" s="1"/>
  <c r="J115" i="2"/>
  <c r="K115" i="2" s="1"/>
  <c r="J114" i="2"/>
  <c r="K114" i="2" s="1"/>
  <c r="J113" i="2"/>
  <c r="K113" i="2" s="1"/>
  <c r="J112" i="2"/>
  <c r="K112" i="2" s="1"/>
  <c r="J111" i="2"/>
  <c r="K111" i="2" s="1"/>
  <c r="J110" i="2"/>
  <c r="K110" i="2" s="1"/>
  <c r="J109" i="2"/>
  <c r="K109" i="2" s="1"/>
  <c r="J108" i="2"/>
  <c r="K108" i="2" s="1"/>
  <c r="J107" i="2"/>
  <c r="K107" i="2" s="1"/>
  <c r="J106" i="2"/>
  <c r="K106" i="2" s="1"/>
  <c r="J105" i="2"/>
  <c r="K105" i="2" s="1"/>
  <c r="J104" i="2"/>
  <c r="K104" i="2" s="1"/>
  <c r="J103" i="2"/>
  <c r="K103" i="2" s="1"/>
  <c r="J102" i="2"/>
  <c r="K102" i="2" s="1"/>
  <c r="J101" i="2"/>
  <c r="K101" i="2" s="1"/>
  <c r="J100" i="2"/>
  <c r="K100" i="2" s="1"/>
  <c r="J99" i="2"/>
  <c r="K99" i="2" s="1"/>
  <c r="J98" i="2"/>
  <c r="K98" i="2" s="1"/>
  <c r="J97" i="2"/>
  <c r="K97" i="2" s="1"/>
  <c r="J96" i="2"/>
  <c r="K96" i="2" s="1"/>
  <c r="J95" i="2"/>
  <c r="K95" i="2" s="1"/>
  <c r="J94" i="2"/>
  <c r="K94" i="2" s="1"/>
  <c r="J93" i="2"/>
  <c r="K93" i="2" s="1"/>
  <c r="J92" i="2"/>
  <c r="K92" i="2" s="1"/>
  <c r="J91" i="2"/>
  <c r="K91" i="2" s="1"/>
  <c r="J90" i="2"/>
  <c r="K90" i="2" s="1"/>
  <c r="J89" i="2"/>
  <c r="K89" i="2" s="1"/>
  <c r="J88" i="2"/>
  <c r="K88" i="2" s="1"/>
  <c r="J87" i="2"/>
  <c r="K87" i="2" s="1"/>
  <c r="J86" i="2"/>
  <c r="K86" i="2" s="1"/>
  <c r="J85" i="2"/>
  <c r="K85" i="2" s="1"/>
  <c r="J84" i="2"/>
  <c r="K84" i="2" s="1"/>
  <c r="J83" i="2"/>
  <c r="K83" i="2" s="1"/>
  <c r="J82" i="2"/>
  <c r="K82" i="2" s="1"/>
  <c r="J81" i="2"/>
  <c r="K81" i="2" s="1"/>
  <c r="J80" i="2"/>
  <c r="K80" i="2" s="1"/>
  <c r="J79" i="2"/>
  <c r="K79" i="2" s="1"/>
  <c r="J78" i="2"/>
  <c r="J77" i="2"/>
  <c r="K77" i="2" s="1"/>
  <c r="J76" i="2"/>
  <c r="J75" i="2"/>
  <c r="K75" i="2" s="1"/>
  <c r="J74" i="2"/>
  <c r="J73" i="2"/>
  <c r="K73" i="2" s="1"/>
  <c r="J72" i="2"/>
  <c r="K72" i="2" s="1"/>
  <c r="J71" i="2"/>
  <c r="K71" i="2" s="1"/>
  <c r="J70" i="2"/>
  <c r="K70" i="2" s="1"/>
  <c r="J69" i="2"/>
  <c r="K69" i="2" s="1"/>
  <c r="J68" i="2"/>
  <c r="K68" i="2" s="1"/>
  <c r="J67" i="2"/>
  <c r="K67" i="2" s="1"/>
  <c r="J66" i="2"/>
  <c r="J65" i="2"/>
  <c r="K65" i="2" s="1"/>
  <c r="J64" i="2"/>
  <c r="K64" i="2" s="1"/>
  <c r="J63" i="2"/>
  <c r="K63" i="2" s="1"/>
  <c r="J62" i="2"/>
  <c r="K62" i="2" s="1"/>
  <c r="J61" i="2"/>
  <c r="K61" i="2" s="1"/>
  <c r="J60" i="2"/>
  <c r="J59" i="2"/>
  <c r="K59" i="2" s="1"/>
  <c r="J58" i="2"/>
  <c r="K58" i="2" s="1"/>
  <c r="J57" i="2"/>
  <c r="J56" i="2"/>
  <c r="K56" i="2" s="1"/>
  <c r="J55" i="2"/>
  <c r="K55" i="2" s="1"/>
  <c r="J54" i="2"/>
  <c r="K54" i="2" s="1"/>
  <c r="J53" i="2"/>
  <c r="K53" i="2" s="1"/>
  <c r="J52" i="2"/>
  <c r="J51" i="2"/>
  <c r="K51" i="2" s="1"/>
  <c r="J50" i="2"/>
  <c r="K50" i="2" s="1"/>
  <c r="J49" i="2"/>
  <c r="K49" i="2" s="1"/>
  <c r="J48" i="2"/>
  <c r="K48" i="2" s="1"/>
  <c r="J47" i="2"/>
  <c r="K47" i="2" s="1"/>
  <c r="J46" i="2"/>
  <c r="K46" i="2" s="1"/>
  <c r="J45" i="2"/>
  <c r="K45" i="2" s="1"/>
  <c r="J44" i="2"/>
  <c r="K44" i="2" s="1"/>
  <c r="J43" i="2"/>
  <c r="K43" i="2" s="1"/>
  <c r="J42" i="2"/>
  <c r="J41" i="2"/>
  <c r="K41" i="2" s="1"/>
  <c r="J40" i="2"/>
  <c r="K40" i="2" s="1"/>
  <c r="J39" i="2"/>
  <c r="K39" i="2" s="1"/>
  <c r="J38" i="2"/>
  <c r="K38" i="2" s="1"/>
  <c r="J37" i="2"/>
  <c r="K37" i="2" s="1"/>
  <c r="J36" i="2"/>
  <c r="J35" i="2"/>
  <c r="K35" i="2" s="1"/>
  <c r="J34" i="2"/>
  <c r="K34" i="2" s="1"/>
  <c r="J33" i="2"/>
  <c r="K33" i="2" s="1"/>
  <c r="J32" i="2"/>
  <c r="K32" i="2" s="1"/>
  <c r="J31" i="2"/>
  <c r="K31" i="2" s="1"/>
  <c r="J30" i="2"/>
  <c r="J29" i="2"/>
  <c r="K29" i="2" s="1"/>
  <c r="J27" i="2"/>
  <c r="J26" i="2"/>
  <c r="K26" i="2" s="1"/>
  <c r="J25" i="2"/>
  <c r="K25" i="2" s="1"/>
  <c r="J24" i="2"/>
  <c r="J23" i="2"/>
  <c r="K23" i="2" s="1"/>
  <c r="J22" i="2"/>
  <c r="K22" i="2" s="1"/>
  <c r="J21" i="2"/>
  <c r="K21" i="2" s="1"/>
  <c r="J20" i="2"/>
  <c r="K20" i="2" s="1"/>
  <c r="J19" i="2"/>
  <c r="K19" i="2" s="1"/>
  <c r="J18" i="2"/>
  <c r="K18" i="2" s="1"/>
  <c r="J17" i="2"/>
  <c r="K17" i="2" s="1"/>
  <c r="J16" i="2"/>
  <c r="K16" i="2" s="1"/>
  <c r="J15" i="2"/>
  <c r="K15" i="2" s="1"/>
  <c r="J14" i="2"/>
  <c r="K14" i="2" s="1"/>
  <c r="J13" i="2"/>
  <c r="K13" i="2" s="1"/>
  <c r="J12" i="2"/>
  <c r="K12" i="2" s="1"/>
  <c r="J11" i="2"/>
  <c r="J9" i="2"/>
  <c r="K9" i="2" s="1"/>
  <c r="J8" i="2"/>
  <c r="K8" i="2" s="1"/>
  <c r="J7" i="2"/>
  <c r="K7" i="2" s="1"/>
  <c r="J6" i="2"/>
  <c r="K6" i="2" s="1"/>
  <c r="L33" i="7"/>
  <c r="F30" i="7"/>
  <c r="I5" i="7"/>
  <c r="J4" i="2"/>
  <c r="K4" i="2" s="1"/>
  <c r="J5" i="2"/>
  <c r="K5" i="2" s="1"/>
  <c r="P10" i="1"/>
  <c r="O10" i="1"/>
  <c r="N10" i="1"/>
  <c r="M10" i="1"/>
  <c r="O14" i="9"/>
  <c r="O15" i="9" s="1"/>
  <c r="P304" i="13"/>
  <c r="R304" i="13"/>
  <c r="J304" i="13"/>
  <c r="L304" i="13"/>
  <c r="D304" i="13"/>
  <c r="F304" i="13" s="1"/>
  <c r="P303" i="13"/>
  <c r="R303" i="13" s="1"/>
  <c r="J303" i="13"/>
  <c r="L303" i="13" s="1"/>
  <c r="D303" i="13"/>
  <c r="F303" i="13" s="1"/>
  <c r="P302" i="13"/>
  <c r="R302" i="13"/>
  <c r="J302" i="13"/>
  <c r="L302" i="13"/>
  <c r="D302" i="13"/>
  <c r="F302" i="13"/>
  <c r="P301" i="13"/>
  <c r="R301" i="13" s="1"/>
  <c r="J301" i="13"/>
  <c r="L301" i="13" s="1"/>
  <c r="F301" i="13"/>
  <c r="D301" i="13"/>
  <c r="P300" i="13"/>
  <c r="R300" i="13"/>
  <c r="J300" i="13"/>
  <c r="L300" i="13" s="1"/>
  <c r="D300" i="13"/>
  <c r="F300" i="13" s="1"/>
  <c r="P299" i="13"/>
  <c r="R299" i="13" s="1"/>
  <c r="J299" i="13"/>
  <c r="L299" i="13" s="1"/>
  <c r="D299" i="13"/>
  <c r="F299" i="13" s="1"/>
  <c r="P298" i="13"/>
  <c r="J298" i="13"/>
  <c r="L298" i="13"/>
  <c r="D298" i="13"/>
  <c r="F298" i="13" s="1"/>
  <c r="P297" i="13"/>
  <c r="R297" i="13" s="1"/>
  <c r="J297" i="13"/>
  <c r="L297" i="13" s="1"/>
  <c r="D297" i="13"/>
  <c r="F297" i="13" s="1"/>
  <c r="P296" i="13"/>
  <c r="J296" i="13"/>
  <c r="D296" i="13"/>
  <c r="W293" i="13"/>
  <c r="V293" i="13"/>
  <c r="U293" i="13"/>
  <c r="P287" i="13"/>
  <c r="R287" i="13" s="1"/>
  <c r="J287" i="13"/>
  <c r="L287" i="13" s="1"/>
  <c r="D287" i="13"/>
  <c r="F287" i="13" s="1"/>
  <c r="P286" i="13"/>
  <c r="R286" i="13" s="1"/>
  <c r="J286" i="13"/>
  <c r="L286" i="13"/>
  <c r="D286" i="13"/>
  <c r="F286" i="13" s="1"/>
  <c r="P285" i="13"/>
  <c r="R285" i="13"/>
  <c r="J285" i="13"/>
  <c r="L285" i="13" s="1"/>
  <c r="D285" i="13"/>
  <c r="F285" i="13" s="1"/>
  <c r="P284" i="13"/>
  <c r="R284" i="13" s="1"/>
  <c r="J284" i="13"/>
  <c r="L284" i="13"/>
  <c r="D284" i="13"/>
  <c r="F284" i="13"/>
  <c r="P283" i="13"/>
  <c r="R283" i="13" s="1"/>
  <c r="J283" i="13"/>
  <c r="L283" i="13" s="1"/>
  <c r="D283" i="13"/>
  <c r="F283" i="13" s="1"/>
  <c r="P282" i="13"/>
  <c r="R282" i="13" s="1"/>
  <c r="J282" i="13"/>
  <c r="L282" i="13" s="1"/>
  <c r="D282" i="13"/>
  <c r="F282" i="13" s="1"/>
  <c r="P281" i="13"/>
  <c r="R281" i="13"/>
  <c r="J281" i="13"/>
  <c r="L281" i="13" s="1"/>
  <c r="D281" i="13"/>
  <c r="F281" i="13" s="1"/>
  <c r="P280" i="13"/>
  <c r="R280" i="13"/>
  <c r="J280" i="13"/>
  <c r="L280" i="13" s="1"/>
  <c r="D280" i="13"/>
  <c r="F280" i="13" s="1"/>
  <c r="F289" i="13" s="1"/>
  <c r="P279" i="13"/>
  <c r="J279" i="13"/>
  <c r="L279" i="13" s="1"/>
  <c r="D279" i="13"/>
  <c r="W276" i="13"/>
  <c r="V276" i="13"/>
  <c r="U276" i="13"/>
  <c r="P270" i="13"/>
  <c r="R270" i="13" s="1"/>
  <c r="J270" i="13"/>
  <c r="L270" i="13"/>
  <c r="D270" i="13"/>
  <c r="F270" i="13"/>
  <c r="P269" i="13"/>
  <c r="R269" i="13" s="1"/>
  <c r="J269" i="13"/>
  <c r="L269" i="13" s="1"/>
  <c r="D269" i="13"/>
  <c r="F269" i="13"/>
  <c r="P268" i="13"/>
  <c r="R268" i="13"/>
  <c r="J268" i="13"/>
  <c r="L268" i="13" s="1"/>
  <c r="D268" i="13"/>
  <c r="F268" i="13"/>
  <c r="P267" i="13"/>
  <c r="R267" i="13" s="1"/>
  <c r="J267" i="13"/>
  <c r="L267" i="13" s="1"/>
  <c r="D267" i="13"/>
  <c r="F267" i="13" s="1"/>
  <c r="P266" i="13"/>
  <c r="R266" i="13" s="1"/>
  <c r="J266" i="13"/>
  <c r="L266" i="13"/>
  <c r="D266" i="13"/>
  <c r="F266" i="13" s="1"/>
  <c r="P265" i="13"/>
  <c r="R265" i="13" s="1"/>
  <c r="J265" i="13"/>
  <c r="L265" i="13" s="1"/>
  <c r="D265" i="13"/>
  <c r="F265" i="13"/>
  <c r="P264" i="13"/>
  <c r="J264" i="13"/>
  <c r="L264" i="13" s="1"/>
  <c r="D264" i="13"/>
  <c r="F264" i="13"/>
  <c r="P263" i="13"/>
  <c r="R263" i="13" s="1"/>
  <c r="J263" i="13"/>
  <c r="L263" i="13" s="1"/>
  <c r="D263" i="13"/>
  <c r="F263" i="13"/>
  <c r="P262" i="13"/>
  <c r="J262" i="13"/>
  <c r="D262" i="13"/>
  <c r="W259" i="13"/>
  <c r="V259" i="13"/>
  <c r="U259" i="13"/>
  <c r="P253" i="13"/>
  <c r="R253" i="13" s="1"/>
  <c r="J253" i="13"/>
  <c r="L253" i="13" s="1"/>
  <c r="D253" i="13"/>
  <c r="F253" i="13"/>
  <c r="P252" i="13"/>
  <c r="R252" i="13"/>
  <c r="J252" i="13"/>
  <c r="L252" i="13"/>
  <c r="D252" i="13"/>
  <c r="F252" i="13" s="1"/>
  <c r="F255" i="13" s="1"/>
  <c r="P251" i="13"/>
  <c r="R251" i="13" s="1"/>
  <c r="J251" i="13"/>
  <c r="L251" i="13" s="1"/>
  <c r="D251" i="13"/>
  <c r="F251" i="13"/>
  <c r="P250" i="13"/>
  <c r="R250" i="13"/>
  <c r="J250" i="13"/>
  <c r="L250" i="13"/>
  <c r="D250" i="13"/>
  <c r="F250" i="13"/>
  <c r="P249" i="13"/>
  <c r="R249" i="13" s="1"/>
  <c r="J249" i="13"/>
  <c r="L249" i="13" s="1"/>
  <c r="D249" i="13"/>
  <c r="F249" i="13"/>
  <c r="P248" i="13"/>
  <c r="R248" i="13"/>
  <c r="J248" i="13"/>
  <c r="L248" i="13"/>
  <c r="D248" i="13"/>
  <c r="F248" i="13"/>
  <c r="P247" i="13"/>
  <c r="R247" i="13" s="1"/>
  <c r="J247" i="13"/>
  <c r="L247" i="13" s="1"/>
  <c r="D247" i="13"/>
  <c r="F247" i="13" s="1"/>
  <c r="P246" i="13"/>
  <c r="J246" i="13"/>
  <c r="L246" i="13"/>
  <c r="D246" i="13"/>
  <c r="F246" i="13"/>
  <c r="P245" i="13"/>
  <c r="J245" i="13"/>
  <c r="D245" i="13"/>
  <c r="W242" i="13"/>
  <c r="V242" i="13"/>
  <c r="U242" i="13"/>
  <c r="P236" i="13"/>
  <c r="R236" i="13" s="1"/>
  <c r="J236" i="13"/>
  <c r="L236" i="13"/>
  <c r="D236" i="13"/>
  <c r="F236" i="13"/>
  <c r="P235" i="13"/>
  <c r="R235" i="13" s="1"/>
  <c r="J235" i="13"/>
  <c r="L235" i="13" s="1"/>
  <c r="D235" i="13"/>
  <c r="F235" i="13"/>
  <c r="P234" i="13"/>
  <c r="R234" i="13" s="1"/>
  <c r="J234" i="13"/>
  <c r="J238" i="13" s="1"/>
  <c r="L240" i="13" s="1"/>
  <c r="D234" i="13"/>
  <c r="F234" i="13"/>
  <c r="P233" i="13"/>
  <c r="R233" i="13" s="1"/>
  <c r="J233" i="13"/>
  <c r="L233" i="13" s="1"/>
  <c r="D233" i="13"/>
  <c r="F233" i="13"/>
  <c r="P232" i="13"/>
  <c r="R232" i="13"/>
  <c r="J232" i="13"/>
  <c r="L232" i="13" s="1"/>
  <c r="D232" i="13"/>
  <c r="F232" i="13"/>
  <c r="R231" i="13"/>
  <c r="P231" i="13"/>
  <c r="J231" i="13"/>
  <c r="L231" i="13" s="1"/>
  <c r="D231" i="13"/>
  <c r="P230" i="13"/>
  <c r="R230" i="13" s="1"/>
  <c r="J230" i="13"/>
  <c r="L230" i="13"/>
  <c r="D230" i="13"/>
  <c r="F230" i="13"/>
  <c r="P229" i="13"/>
  <c r="R229" i="13" s="1"/>
  <c r="J229" i="13"/>
  <c r="L229" i="13" s="1"/>
  <c r="D229" i="13"/>
  <c r="F229" i="13"/>
  <c r="P228" i="13"/>
  <c r="J228" i="13"/>
  <c r="D228" i="13"/>
  <c r="W225" i="13"/>
  <c r="V225" i="13"/>
  <c r="U225" i="13"/>
  <c r="P219" i="13"/>
  <c r="R219" i="13" s="1"/>
  <c r="J219" i="13"/>
  <c r="L219" i="13" s="1"/>
  <c r="F219" i="13"/>
  <c r="D219" i="13"/>
  <c r="P218" i="13"/>
  <c r="R218" i="13"/>
  <c r="R221" i="13" s="1"/>
  <c r="J218" i="13"/>
  <c r="L218" i="13" s="1"/>
  <c r="D218" i="13"/>
  <c r="F218" i="13" s="1"/>
  <c r="R217" i="13"/>
  <c r="P217" i="13"/>
  <c r="J217" i="13"/>
  <c r="L217" i="13" s="1"/>
  <c r="D217" i="13"/>
  <c r="F217" i="13"/>
  <c r="P216" i="13"/>
  <c r="R216" i="13"/>
  <c r="J216" i="13"/>
  <c r="L216" i="13" s="1"/>
  <c r="D216" i="13"/>
  <c r="F216" i="13"/>
  <c r="P215" i="13"/>
  <c r="R215" i="13" s="1"/>
  <c r="J215" i="13"/>
  <c r="L215" i="13" s="1"/>
  <c r="D215" i="13"/>
  <c r="F215" i="13" s="1"/>
  <c r="P214" i="13"/>
  <c r="R214" i="13"/>
  <c r="J214" i="13"/>
  <c r="L214" i="13"/>
  <c r="D214" i="13"/>
  <c r="F214" i="13"/>
  <c r="R213" i="13"/>
  <c r="P213" i="13"/>
  <c r="J213" i="13"/>
  <c r="L213" i="13" s="1"/>
  <c r="D213" i="13"/>
  <c r="F213" i="13" s="1"/>
  <c r="P212" i="13"/>
  <c r="R212" i="13"/>
  <c r="J212" i="13"/>
  <c r="D212" i="13"/>
  <c r="F212" i="13"/>
  <c r="P211" i="13"/>
  <c r="J211" i="13"/>
  <c r="D211" i="13"/>
  <c r="F211" i="13"/>
  <c r="F221" i="13" s="1"/>
  <c r="W208" i="13"/>
  <c r="V208" i="13"/>
  <c r="U208" i="13"/>
  <c r="P202" i="13"/>
  <c r="R202" i="13" s="1"/>
  <c r="L202" i="13"/>
  <c r="J202" i="13"/>
  <c r="D202" i="13"/>
  <c r="F202" i="13"/>
  <c r="P201" i="13"/>
  <c r="R201" i="13"/>
  <c r="J201" i="13"/>
  <c r="L201" i="13"/>
  <c r="D201" i="13"/>
  <c r="F201" i="13"/>
  <c r="P200" i="13"/>
  <c r="R200" i="13" s="1"/>
  <c r="J200" i="13"/>
  <c r="L200" i="13" s="1"/>
  <c r="D200" i="13"/>
  <c r="F200" i="13"/>
  <c r="P199" i="13"/>
  <c r="R199" i="13"/>
  <c r="J199" i="13"/>
  <c r="L199" i="13"/>
  <c r="D199" i="13"/>
  <c r="F199" i="13" s="1"/>
  <c r="P198" i="13"/>
  <c r="R198" i="13" s="1"/>
  <c r="J198" i="13"/>
  <c r="L198" i="13" s="1"/>
  <c r="D198" i="13"/>
  <c r="F198" i="13"/>
  <c r="P197" i="13"/>
  <c r="R197" i="13"/>
  <c r="J197" i="13"/>
  <c r="L197" i="13" s="1"/>
  <c r="F197" i="13"/>
  <c r="D197" i="13"/>
  <c r="P196" i="13"/>
  <c r="R196" i="13"/>
  <c r="J196" i="13"/>
  <c r="D196" i="13"/>
  <c r="F196" i="13"/>
  <c r="P195" i="13"/>
  <c r="R195" i="13" s="1"/>
  <c r="J195" i="13"/>
  <c r="L195" i="13" s="1"/>
  <c r="D195" i="13"/>
  <c r="F195" i="13" s="1"/>
  <c r="P194" i="13"/>
  <c r="L194" i="13"/>
  <c r="J194" i="13"/>
  <c r="D194" i="13"/>
  <c r="W191" i="13"/>
  <c r="V191" i="13"/>
  <c r="U191" i="13"/>
  <c r="R185" i="13"/>
  <c r="P185" i="13"/>
  <c r="J185" i="13"/>
  <c r="L185" i="13" s="1"/>
  <c r="D185" i="13"/>
  <c r="F185" i="13"/>
  <c r="P184" i="13"/>
  <c r="R184" i="13" s="1"/>
  <c r="J184" i="13"/>
  <c r="L184" i="13" s="1"/>
  <c r="D184" i="13"/>
  <c r="F184" i="13" s="1"/>
  <c r="P183" i="13"/>
  <c r="R183" i="13"/>
  <c r="J183" i="13"/>
  <c r="D183" i="13"/>
  <c r="F183" i="13" s="1"/>
  <c r="P182" i="13"/>
  <c r="R182" i="13" s="1"/>
  <c r="J182" i="13"/>
  <c r="L182" i="13" s="1"/>
  <c r="D182" i="13"/>
  <c r="F182" i="13"/>
  <c r="P181" i="13"/>
  <c r="R181" i="13" s="1"/>
  <c r="J181" i="13"/>
  <c r="L181" i="13"/>
  <c r="D181" i="13"/>
  <c r="F181" i="13" s="1"/>
  <c r="P180" i="13"/>
  <c r="R180" i="13" s="1"/>
  <c r="L180" i="13"/>
  <c r="J180" i="13"/>
  <c r="D180" i="13"/>
  <c r="F180" i="13" s="1"/>
  <c r="P179" i="13"/>
  <c r="R179" i="13" s="1"/>
  <c r="J179" i="13"/>
  <c r="L179" i="13"/>
  <c r="D179" i="13"/>
  <c r="F179" i="13"/>
  <c r="P178" i="13"/>
  <c r="R178" i="13" s="1"/>
  <c r="J178" i="13"/>
  <c r="L178" i="13" s="1"/>
  <c r="D178" i="13"/>
  <c r="F178" i="13"/>
  <c r="F187" i="13" s="1"/>
  <c r="P177" i="13"/>
  <c r="J177" i="13"/>
  <c r="L177" i="13" s="1"/>
  <c r="D177" i="13"/>
  <c r="F177" i="13" s="1"/>
  <c r="W174" i="13"/>
  <c r="V174" i="13"/>
  <c r="U174" i="13"/>
  <c r="P168" i="13"/>
  <c r="R168" i="13"/>
  <c r="J168" i="13"/>
  <c r="L168" i="13"/>
  <c r="D168" i="13"/>
  <c r="F168" i="13" s="1"/>
  <c r="P167" i="13"/>
  <c r="R167" i="13"/>
  <c r="J167" i="13"/>
  <c r="L167" i="13" s="1"/>
  <c r="D167" i="13"/>
  <c r="F167" i="13" s="1"/>
  <c r="P166" i="13"/>
  <c r="R166" i="13"/>
  <c r="J166" i="13"/>
  <c r="L166" i="13"/>
  <c r="D166" i="13"/>
  <c r="F166" i="13"/>
  <c r="P165" i="13"/>
  <c r="R165" i="13" s="1"/>
  <c r="J165" i="13"/>
  <c r="L165" i="13"/>
  <c r="D165" i="13"/>
  <c r="F165" i="13" s="1"/>
  <c r="P164" i="13"/>
  <c r="R164" i="13"/>
  <c r="J164" i="13"/>
  <c r="L164" i="13"/>
  <c r="D164" i="13"/>
  <c r="F164" i="13" s="1"/>
  <c r="P163" i="13"/>
  <c r="R163" i="13" s="1"/>
  <c r="R170" i="13" s="1"/>
  <c r="J163" i="13"/>
  <c r="L163" i="13"/>
  <c r="D163" i="13"/>
  <c r="F163" i="13" s="1"/>
  <c r="P162" i="13"/>
  <c r="R162" i="13" s="1"/>
  <c r="J162" i="13"/>
  <c r="L162" i="13"/>
  <c r="D162" i="13"/>
  <c r="F162" i="13" s="1"/>
  <c r="P161" i="13"/>
  <c r="R161" i="13" s="1"/>
  <c r="J161" i="13"/>
  <c r="J170" i="13" s="1"/>
  <c r="L172" i="13" s="1"/>
  <c r="D161" i="13"/>
  <c r="F161" i="13" s="1"/>
  <c r="P160" i="13"/>
  <c r="R160" i="13"/>
  <c r="J160" i="13"/>
  <c r="D160" i="13"/>
  <c r="W157" i="13"/>
  <c r="V157" i="13"/>
  <c r="U157" i="13"/>
  <c r="P151" i="13"/>
  <c r="R151" i="13"/>
  <c r="L151" i="13"/>
  <c r="J151" i="13"/>
  <c r="D151" i="13"/>
  <c r="F151" i="13"/>
  <c r="P150" i="13"/>
  <c r="R150" i="13"/>
  <c r="J150" i="13"/>
  <c r="L150" i="13" s="1"/>
  <c r="D150" i="13"/>
  <c r="F150" i="13" s="1"/>
  <c r="P149" i="13"/>
  <c r="R149" i="13"/>
  <c r="J149" i="13"/>
  <c r="D149" i="13"/>
  <c r="F149" i="13"/>
  <c r="P148" i="13"/>
  <c r="R148" i="13" s="1"/>
  <c r="J148" i="13"/>
  <c r="L148" i="13"/>
  <c r="D148" i="13"/>
  <c r="F148" i="13"/>
  <c r="P147" i="13"/>
  <c r="R147" i="13"/>
  <c r="J147" i="13"/>
  <c r="L147" i="13"/>
  <c r="D147" i="13"/>
  <c r="F147" i="13" s="1"/>
  <c r="P146" i="13"/>
  <c r="P153" i="13" s="1"/>
  <c r="R155" i="13" s="1"/>
  <c r="R146" i="13"/>
  <c r="J146" i="13"/>
  <c r="L146" i="13"/>
  <c r="D146" i="13"/>
  <c r="F146" i="13" s="1"/>
  <c r="P145" i="13"/>
  <c r="R145" i="13"/>
  <c r="J145" i="13"/>
  <c r="L145" i="13"/>
  <c r="D145" i="13"/>
  <c r="F145" i="13" s="1"/>
  <c r="P144" i="13"/>
  <c r="R144" i="13"/>
  <c r="J144" i="13"/>
  <c r="L144" i="13"/>
  <c r="D144" i="13"/>
  <c r="F144" i="13" s="1"/>
  <c r="P143" i="13"/>
  <c r="J143" i="13"/>
  <c r="L143" i="13" s="1"/>
  <c r="D143" i="13"/>
  <c r="W140" i="13"/>
  <c r="V140" i="13"/>
  <c r="U140" i="13"/>
  <c r="R134" i="13"/>
  <c r="P134" i="13"/>
  <c r="J134" i="13"/>
  <c r="L134" i="13"/>
  <c r="D134" i="13"/>
  <c r="F134" i="13" s="1"/>
  <c r="P133" i="13"/>
  <c r="R133" i="13" s="1"/>
  <c r="J133" i="13"/>
  <c r="L133" i="13"/>
  <c r="D133" i="13"/>
  <c r="F133" i="13"/>
  <c r="P132" i="13"/>
  <c r="R132" i="13" s="1"/>
  <c r="J132" i="13"/>
  <c r="L132" i="13"/>
  <c r="D132" i="13"/>
  <c r="F132" i="13" s="1"/>
  <c r="P131" i="13"/>
  <c r="R131" i="13" s="1"/>
  <c r="J131" i="13"/>
  <c r="L131" i="13" s="1"/>
  <c r="D131" i="13"/>
  <c r="F131" i="13"/>
  <c r="P130" i="13"/>
  <c r="J130" i="13"/>
  <c r="L130" i="13"/>
  <c r="D130" i="13"/>
  <c r="F130" i="13" s="1"/>
  <c r="P129" i="13"/>
  <c r="R129" i="13" s="1"/>
  <c r="J129" i="13"/>
  <c r="L129" i="13" s="1"/>
  <c r="D129" i="13"/>
  <c r="F129" i="13"/>
  <c r="P128" i="13"/>
  <c r="R128" i="13" s="1"/>
  <c r="J128" i="13"/>
  <c r="L128" i="13"/>
  <c r="F128" i="13"/>
  <c r="D128" i="13"/>
  <c r="P127" i="13"/>
  <c r="R127" i="13" s="1"/>
  <c r="J127" i="13"/>
  <c r="L127" i="13" s="1"/>
  <c r="D127" i="13"/>
  <c r="F127" i="13"/>
  <c r="R126" i="13"/>
  <c r="P126" i="13"/>
  <c r="J126" i="13"/>
  <c r="L126" i="13" s="1"/>
  <c r="D126" i="13"/>
  <c r="F126" i="13"/>
  <c r="W123" i="13"/>
  <c r="V123" i="13"/>
  <c r="U123" i="13"/>
  <c r="P117" i="13"/>
  <c r="R117" i="13" s="1"/>
  <c r="J117" i="13"/>
  <c r="L117" i="13"/>
  <c r="D117" i="13"/>
  <c r="F117" i="13" s="1"/>
  <c r="P116" i="13"/>
  <c r="R116" i="13" s="1"/>
  <c r="J116" i="13"/>
  <c r="L116" i="13" s="1"/>
  <c r="D116" i="13"/>
  <c r="F116" i="13" s="1"/>
  <c r="P115" i="13"/>
  <c r="R115" i="13"/>
  <c r="J115" i="13"/>
  <c r="L115" i="13"/>
  <c r="D115" i="13"/>
  <c r="F115" i="13" s="1"/>
  <c r="P114" i="13"/>
  <c r="R114" i="13"/>
  <c r="J114" i="13"/>
  <c r="L114" i="13" s="1"/>
  <c r="D114" i="13"/>
  <c r="F114" i="13" s="1"/>
  <c r="P113" i="13"/>
  <c r="R113" i="13" s="1"/>
  <c r="J113" i="13"/>
  <c r="L113" i="13"/>
  <c r="D113" i="13"/>
  <c r="F113" i="13" s="1"/>
  <c r="P112" i="13"/>
  <c r="R112" i="13"/>
  <c r="J112" i="13"/>
  <c r="L112" i="13" s="1"/>
  <c r="D112" i="13"/>
  <c r="F112" i="13" s="1"/>
  <c r="P111" i="13"/>
  <c r="R111" i="13"/>
  <c r="J111" i="13"/>
  <c r="L111" i="13" s="1"/>
  <c r="D111" i="13"/>
  <c r="F111" i="13" s="1"/>
  <c r="P110" i="13"/>
  <c r="R110" i="13"/>
  <c r="J110" i="13"/>
  <c r="L110" i="13" s="1"/>
  <c r="L119" i="13" s="1"/>
  <c r="D110" i="13"/>
  <c r="F110" i="13" s="1"/>
  <c r="P109" i="13"/>
  <c r="J109" i="13"/>
  <c r="L109" i="13"/>
  <c r="D109" i="13"/>
  <c r="W106" i="13"/>
  <c r="V106" i="13"/>
  <c r="U106" i="13"/>
  <c r="P100" i="13"/>
  <c r="R100" i="13"/>
  <c r="J100" i="13"/>
  <c r="L100" i="13" s="1"/>
  <c r="D100" i="13"/>
  <c r="F100" i="13" s="1"/>
  <c r="P99" i="13"/>
  <c r="R99" i="13" s="1"/>
  <c r="J99" i="13"/>
  <c r="L99" i="13"/>
  <c r="D99" i="13"/>
  <c r="F99" i="13" s="1"/>
  <c r="P98" i="13"/>
  <c r="R98" i="13" s="1"/>
  <c r="J98" i="13"/>
  <c r="L98" i="13" s="1"/>
  <c r="D98" i="13"/>
  <c r="F98" i="13" s="1"/>
  <c r="P97" i="13"/>
  <c r="J97" i="13"/>
  <c r="L97" i="13"/>
  <c r="D97" i="13"/>
  <c r="F97" i="13" s="1"/>
  <c r="P96" i="13"/>
  <c r="R96" i="13"/>
  <c r="J96" i="13"/>
  <c r="L96" i="13" s="1"/>
  <c r="D96" i="13"/>
  <c r="F96" i="13" s="1"/>
  <c r="P95" i="13"/>
  <c r="R95" i="13"/>
  <c r="J95" i="13"/>
  <c r="L95" i="13"/>
  <c r="D95" i="13"/>
  <c r="F95" i="13" s="1"/>
  <c r="P94" i="13"/>
  <c r="R94" i="13"/>
  <c r="J94" i="13"/>
  <c r="L94" i="13" s="1"/>
  <c r="D94" i="13"/>
  <c r="F94" i="13" s="1"/>
  <c r="P93" i="13"/>
  <c r="R93" i="13"/>
  <c r="J93" i="13"/>
  <c r="L93" i="13"/>
  <c r="D93" i="13"/>
  <c r="F93" i="13" s="1"/>
  <c r="P92" i="13"/>
  <c r="J92" i="13"/>
  <c r="L92" i="13" s="1"/>
  <c r="D92" i="13"/>
  <c r="W89" i="13"/>
  <c r="V89" i="13"/>
  <c r="U89" i="13"/>
  <c r="P83" i="13"/>
  <c r="R83" i="13"/>
  <c r="J83" i="13"/>
  <c r="L83" i="13" s="1"/>
  <c r="D83" i="13"/>
  <c r="F83" i="13"/>
  <c r="P82" i="13"/>
  <c r="R82" i="13" s="1"/>
  <c r="L82" i="13"/>
  <c r="J82" i="13"/>
  <c r="D82" i="13"/>
  <c r="F82" i="13" s="1"/>
  <c r="P81" i="13"/>
  <c r="R81" i="13"/>
  <c r="J81" i="13"/>
  <c r="D81" i="13"/>
  <c r="F81" i="13"/>
  <c r="P80" i="13"/>
  <c r="R80" i="13" s="1"/>
  <c r="J80" i="13"/>
  <c r="L80" i="13" s="1"/>
  <c r="D80" i="13"/>
  <c r="F80" i="13"/>
  <c r="P79" i="13"/>
  <c r="R79" i="13" s="1"/>
  <c r="J79" i="13"/>
  <c r="L79" i="13" s="1"/>
  <c r="D79" i="13"/>
  <c r="F79" i="13"/>
  <c r="P78" i="13"/>
  <c r="J78" i="13"/>
  <c r="L78" i="13" s="1"/>
  <c r="D78" i="13"/>
  <c r="F78" i="13"/>
  <c r="P77" i="13"/>
  <c r="R77" i="13"/>
  <c r="J77" i="13"/>
  <c r="L77" i="13" s="1"/>
  <c r="D77" i="13"/>
  <c r="F77" i="13"/>
  <c r="P76" i="13"/>
  <c r="R76" i="13" s="1"/>
  <c r="J76" i="13"/>
  <c r="L76" i="13" s="1"/>
  <c r="D76" i="13"/>
  <c r="D85" i="13" s="1"/>
  <c r="F87" i="13" s="1"/>
  <c r="F76" i="13"/>
  <c r="F85" i="13" s="1"/>
  <c r="P75" i="13"/>
  <c r="R75" i="13" s="1"/>
  <c r="J75" i="13"/>
  <c r="L75" i="13"/>
  <c r="D75" i="13"/>
  <c r="W72" i="13"/>
  <c r="V72" i="13"/>
  <c r="U72" i="13"/>
  <c r="P66" i="13"/>
  <c r="R66" i="13"/>
  <c r="J66" i="13"/>
  <c r="L66" i="13" s="1"/>
  <c r="D66" i="13"/>
  <c r="F66" i="13"/>
  <c r="P65" i="13"/>
  <c r="R65" i="13"/>
  <c r="J65" i="13"/>
  <c r="L65" i="13" s="1"/>
  <c r="D65" i="13"/>
  <c r="F65" i="13"/>
  <c r="P64" i="13"/>
  <c r="R64" i="13"/>
  <c r="J64" i="13"/>
  <c r="L64" i="13" s="1"/>
  <c r="D64" i="13"/>
  <c r="F64" i="13"/>
  <c r="P63" i="13"/>
  <c r="R63" i="13"/>
  <c r="J63" i="13"/>
  <c r="L63" i="13" s="1"/>
  <c r="D63" i="13"/>
  <c r="F63" i="13"/>
  <c r="P62" i="13"/>
  <c r="R62" i="13"/>
  <c r="J62" i="13"/>
  <c r="L62" i="13" s="1"/>
  <c r="D62" i="13"/>
  <c r="F62" i="13"/>
  <c r="P61" i="13"/>
  <c r="R61" i="13"/>
  <c r="J61" i="13"/>
  <c r="L61" i="13"/>
  <c r="D61" i="13"/>
  <c r="F61" i="13"/>
  <c r="P60" i="13"/>
  <c r="R60" i="13"/>
  <c r="J60" i="13"/>
  <c r="L60" i="13" s="1"/>
  <c r="D60" i="13"/>
  <c r="D68" i="13" s="1"/>
  <c r="F70" i="13" s="1"/>
  <c r="P59" i="13"/>
  <c r="R59" i="13"/>
  <c r="J59" i="13"/>
  <c r="L59" i="13" s="1"/>
  <c r="D59" i="13"/>
  <c r="F59" i="13"/>
  <c r="P58" i="13"/>
  <c r="R58" i="13"/>
  <c r="J58" i="13"/>
  <c r="D58" i="13"/>
  <c r="F58" i="13"/>
  <c r="W55" i="13"/>
  <c r="V55" i="13"/>
  <c r="U55" i="13"/>
  <c r="P49" i="13"/>
  <c r="R49" i="13" s="1"/>
  <c r="J49" i="13"/>
  <c r="L49" i="13"/>
  <c r="D49" i="13"/>
  <c r="F49" i="13"/>
  <c r="P48" i="13"/>
  <c r="R48" i="13" s="1"/>
  <c r="J48" i="13"/>
  <c r="L48" i="13" s="1"/>
  <c r="D48" i="13"/>
  <c r="F48" i="13"/>
  <c r="P47" i="13"/>
  <c r="R47" i="13"/>
  <c r="J47" i="13"/>
  <c r="L47" i="13"/>
  <c r="D47" i="13"/>
  <c r="F47" i="13"/>
  <c r="P46" i="13"/>
  <c r="R46" i="13" s="1"/>
  <c r="J46" i="13"/>
  <c r="L46" i="13"/>
  <c r="D46" i="13"/>
  <c r="F46" i="13"/>
  <c r="P45" i="13"/>
  <c r="R45" i="13"/>
  <c r="J45" i="13"/>
  <c r="L45" i="13"/>
  <c r="D45" i="13"/>
  <c r="F45" i="13"/>
  <c r="P44" i="13"/>
  <c r="R44" i="13" s="1"/>
  <c r="J44" i="13"/>
  <c r="L44" i="13"/>
  <c r="D44" i="13"/>
  <c r="F44" i="13"/>
  <c r="P43" i="13"/>
  <c r="R43" i="13"/>
  <c r="J43" i="13"/>
  <c r="L43" i="13"/>
  <c r="D43" i="13"/>
  <c r="F43" i="13"/>
  <c r="P42" i="13"/>
  <c r="R42" i="13" s="1"/>
  <c r="J42" i="13"/>
  <c r="L42" i="13"/>
  <c r="D42" i="13"/>
  <c r="F42" i="13"/>
  <c r="P41" i="13"/>
  <c r="R41" i="13" s="1"/>
  <c r="R51" i="13" s="1"/>
  <c r="J41" i="13"/>
  <c r="D41" i="13"/>
  <c r="F41" i="13" s="1"/>
  <c r="F51" i="13" s="1"/>
  <c r="W38" i="13"/>
  <c r="V38" i="13"/>
  <c r="U38" i="13"/>
  <c r="P32" i="13"/>
  <c r="R32" i="13"/>
  <c r="J32" i="13"/>
  <c r="L32" i="13" s="1"/>
  <c r="D32" i="13"/>
  <c r="F32" i="13"/>
  <c r="P31" i="13"/>
  <c r="R31" i="13" s="1"/>
  <c r="J31" i="13"/>
  <c r="L31" i="13" s="1"/>
  <c r="D31" i="13"/>
  <c r="F31" i="13"/>
  <c r="P30" i="13"/>
  <c r="R30" i="13"/>
  <c r="R34" i="13" s="1"/>
  <c r="J30" i="13"/>
  <c r="L30" i="13" s="1"/>
  <c r="D30" i="13"/>
  <c r="F30" i="13"/>
  <c r="P29" i="13"/>
  <c r="R29" i="13" s="1"/>
  <c r="J29" i="13"/>
  <c r="L29" i="13" s="1"/>
  <c r="D29" i="13"/>
  <c r="F29" i="13"/>
  <c r="P28" i="13"/>
  <c r="R28" i="13"/>
  <c r="J28" i="13"/>
  <c r="L28" i="13" s="1"/>
  <c r="D28" i="13"/>
  <c r="F28" i="13"/>
  <c r="P27" i="13"/>
  <c r="R27" i="13" s="1"/>
  <c r="J27" i="13"/>
  <c r="L27" i="13" s="1"/>
  <c r="D27" i="13"/>
  <c r="F27" i="13" s="1"/>
  <c r="P26" i="13"/>
  <c r="R26" i="13"/>
  <c r="J26" i="13"/>
  <c r="L26" i="13" s="1"/>
  <c r="D26" i="13"/>
  <c r="F26" i="13" s="1"/>
  <c r="P25" i="13"/>
  <c r="R25" i="13" s="1"/>
  <c r="J25" i="13"/>
  <c r="L25" i="13" s="1"/>
  <c r="D25" i="13"/>
  <c r="P24" i="13"/>
  <c r="R24" i="13"/>
  <c r="J24" i="13"/>
  <c r="D24" i="13"/>
  <c r="F24" i="13"/>
  <c r="W21" i="13"/>
  <c r="V21" i="13"/>
  <c r="U21" i="13"/>
  <c r="P15" i="13"/>
  <c r="R15" i="13" s="1"/>
  <c r="J15" i="13"/>
  <c r="L15" i="13" s="1"/>
  <c r="D15" i="13"/>
  <c r="F15" i="13"/>
  <c r="P14" i="13"/>
  <c r="R14" i="13" s="1"/>
  <c r="J14" i="13"/>
  <c r="L14" i="13"/>
  <c r="D14" i="13"/>
  <c r="F14" i="13" s="1"/>
  <c r="P13" i="13"/>
  <c r="R13" i="13" s="1"/>
  <c r="J13" i="13"/>
  <c r="L13" i="13" s="1"/>
  <c r="D13" i="13"/>
  <c r="F13" i="13"/>
  <c r="P12" i="13"/>
  <c r="R12" i="13" s="1"/>
  <c r="J12" i="13"/>
  <c r="L12" i="13"/>
  <c r="D12" i="13"/>
  <c r="F12" i="13" s="1"/>
  <c r="P11" i="13"/>
  <c r="R11" i="13" s="1"/>
  <c r="J11" i="13"/>
  <c r="L11" i="13"/>
  <c r="D11" i="13"/>
  <c r="F11" i="13"/>
  <c r="P10" i="13"/>
  <c r="R10" i="13" s="1"/>
  <c r="J10" i="13"/>
  <c r="L10" i="13"/>
  <c r="D10" i="13"/>
  <c r="F10" i="13" s="1"/>
  <c r="P9" i="13"/>
  <c r="R9" i="13" s="1"/>
  <c r="J9" i="13"/>
  <c r="L9" i="13" s="1"/>
  <c r="D9" i="13"/>
  <c r="F9" i="13"/>
  <c r="P8" i="13"/>
  <c r="R8" i="13" s="1"/>
  <c r="J8" i="13"/>
  <c r="D8" i="13"/>
  <c r="F8" i="13" s="1"/>
  <c r="P7" i="13"/>
  <c r="J7" i="13"/>
  <c r="L7" i="13"/>
  <c r="D7" i="13"/>
  <c r="W4" i="13"/>
  <c r="V4" i="13"/>
  <c r="U4" i="13"/>
  <c r="I15" i="12"/>
  <c r="K15" i="12"/>
  <c r="C15" i="12"/>
  <c r="E15" i="12"/>
  <c r="I14" i="12"/>
  <c r="K14" i="12"/>
  <c r="E14" i="12"/>
  <c r="C14" i="12"/>
  <c r="I13" i="12"/>
  <c r="K13" i="12" s="1"/>
  <c r="C13" i="12"/>
  <c r="E13" i="12"/>
  <c r="I12" i="12"/>
  <c r="K12" i="12"/>
  <c r="C12" i="12"/>
  <c r="E12" i="12" s="1"/>
  <c r="I11" i="12"/>
  <c r="K11" i="12"/>
  <c r="E11" i="12"/>
  <c r="C11" i="12"/>
  <c r="I10" i="12"/>
  <c r="K10" i="12"/>
  <c r="C10" i="12"/>
  <c r="E10" i="12" s="1"/>
  <c r="I9" i="12"/>
  <c r="K9" i="12"/>
  <c r="C9" i="12"/>
  <c r="E9" i="12"/>
  <c r="I8" i="12"/>
  <c r="K8" i="12"/>
  <c r="C8" i="12"/>
  <c r="E8" i="12" s="1"/>
  <c r="I7" i="12"/>
  <c r="K7" i="12" s="1"/>
  <c r="C7" i="12"/>
  <c r="E7" i="12"/>
  <c r="I6" i="12"/>
  <c r="K6" i="12" s="1"/>
  <c r="C6" i="12"/>
  <c r="E6" i="12"/>
  <c r="I5" i="12"/>
  <c r="C5" i="12"/>
  <c r="E5" i="12" s="1"/>
  <c r="D51" i="13"/>
  <c r="F53" i="13" s="1"/>
  <c r="J255" i="13"/>
  <c r="L257" i="13"/>
  <c r="L228" i="13"/>
  <c r="L245" i="13"/>
  <c r="R262" i="13"/>
  <c r="F279" i="13"/>
  <c r="R92" i="13"/>
  <c r="D221" i="13"/>
  <c r="F223" i="13" s="1"/>
  <c r="R211" i="13"/>
  <c r="F245" i="13"/>
  <c r="R245" i="13"/>
  <c r="K5" i="12"/>
  <c r="P68" i="13"/>
  <c r="R70" i="13"/>
  <c r="F7" i="13"/>
  <c r="F17" i="13" s="1"/>
  <c r="L24" i="13"/>
  <c r="L34" i="13" s="1"/>
  <c r="L58" i="13"/>
  <c r="F75" i="13"/>
  <c r="P119" i="13"/>
  <c r="R121" i="13" s="1"/>
  <c r="R109" i="13"/>
  <c r="F109" i="13"/>
  <c r="P170" i="13"/>
  <c r="R172" i="13" s="1"/>
  <c r="R143" i="13"/>
  <c r="L160" i="13"/>
  <c r="F194" i="13"/>
  <c r="F204" i="13"/>
  <c r="L211" i="13"/>
  <c r="F228" i="13"/>
  <c r="F296" i="13"/>
  <c r="R296" i="13"/>
  <c r="F4" i="10"/>
  <c r="E4" i="10"/>
  <c r="E5" i="10" s="1"/>
  <c r="E6" i="10" s="1"/>
  <c r="E11" i="10" s="1"/>
  <c r="D4" i="10"/>
  <c r="D5" i="10" s="1"/>
  <c r="C4" i="10"/>
  <c r="C5" i="10" s="1"/>
  <c r="BY43" i="2"/>
  <c r="BX43" i="2"/>
  <c r="BW43" i="2"/>
  <c r="BU43" i="2"/>
  <c r="BU50" i="2"/>
  <c r="BT50" i="2"/>
  <c r="BT43" i="2"/>
  <c r="BY57" i="2"/>
  <c r="BX57" i="2"/>
  <c r="BW57" i="2"/>
  <c r="BU57" i="2"/>
  <c r="BT57" i="2"/>
  <c r="BY50" i="2"/>
  <c r="BX50" i="2"/>
  <c r="BW50" i="2"/>
  <c r="BS50" i="2"/>
  <c r="CA50" i="2" s="1"/>
  <c r="F304" i="2"/>
  <c r="J304" i="2" s="1"/>
  <c r="F300" i="2"/>
  <c r="J300" i="2" s="1"/>
  <c r="F299" i="2"/>
  <c r="J299" i="2" s="1"/>
  <c r="F298" i="2"/>
  <c r="J298" i="2" s="1"/>
  <c r="F297" i="2"/>
  <c r="J297" i="2" s="1"/>
  <c r="F296" i="2"/>
  <c r="J296" i="2" s="1"/>
  <c r="F295" i="2"/>
  <c r="J295" i="2" s="1"/>
  <c r="F294" i="2"/>
  <c r="J294" i="2" s="1"/>
  <c r="F293" i="2"/>
  <c r="J293" i="2" s="1"/>
  <c r="F292" i="2"/>
  <c r="J292" i="2" s="1"/>
  <c r="F291" i="2"/>
  <c r="J291" i="2" s="1"/>
  <c r="F290" i="2"/>
  <c r="J290" i="2" s="1"/>
  <c r="F289" i="2"/>
  <c r="J289" i="2" s="1"/>
  <c r="F288" i="2"/>
  <c r="J288" i="2" s="1"/>
  <c r="F287" i="2"/>
  <c r="J287" i="2" s="1"/>
  <c r="F286" i="2"/>
  <c r="J286" i="2" s="1"/>
  <c r="F285" i="2"/>
  <c r="N281" i="2"/>
  <c r="R281" i="2" s="1"/>
  <c r="H281" i="2"/>
  <c r="N280" i="2"/>
  <c r="R280" i="2" s="1"/>
  <c r="H280" i="2"/>
  <c r="N279" i="2"/>
  <c r="R279" i="2" s="1"/>
  <c r="H279" i="2"/>
  <c r="N278" i="2"/>
  <c r="R278" i="2" s="1"/>
  <c r="H278" i="2"/>
  <c r="N277" i="2"/>
  <c r="R277" i="2" s="1"/>
  <c r="H277" i="2"/>
  <c r="N276" i="2"/>
  <c r="R276" i="2" s="1"/>
  <c r="H276" i="2"/>
  <c r="N275" i="2"/>
  <c r="R275" i="2" s="1"/>
  <c r="H275" i="2"/>
  <c r="N274" i="2"/>
  <c r="R274" i="2" s="1"/>
  <c r="H274" i="2"/>
  <c r="N273" i="2"/>
  <c r="R273" i="2" s="1"/>
  <c r="H273" i="2"/>
  <c r="N272" i="2"/>
  <c r="R272" i="2" s="1"/>
  <c r="H272" i="2"/>
  <c r="N271" i="2"/>
  <c r="R271" i="2" s="1"/>
  <c r="H271" i="2"/>
  <c r="N270" i="2"/>
  <c r="R270" i="2" s="1"/>
  <c r="H270" i="2"/>
  <c r="N269" i="2"/>
  <c r="R269" i="2" s="1"/>
  <c r="H269" i="2"/>
  <c r="N268" i="2"/>
  <c r="R268" i="2" s="1"/>
  <c r="H268" i="2"/>
  <c r="N267" i="2"/>
  <c r="R267" i="2" s="1"/>
  <c r="H267" i="2"/>
  <c r="N266" i="2"/>
  <c r="R266" i="2" s="1"/>
  <c r="H266" i="2"/>
  <c r="N265" i="2"/>
  <c r="R265" i="2" s="1"/>
  <c r="H265" i="2"/>
  <c r="N264" i="2"/>
  <c r="R264" i="2" s="1"/>
  <c r="H264" i="2"/>
  <c r="N263" i="2"/>
  <c r="R263" i="2" s="1"/>
  <c r="H263" i="2"/>
  <c r="N262" i="2"/>
  <c r="R262" i="2" s="1"/>
  <c r="H262" i="2"/>
  <c r="N261" i="2"/>
  <c r="R261" i="2" s="1"/>
  <c r="H261" i="2"/>
  <c r="N260" i="2"/>
  <c r="R260" i="2" s="1"/>
  <c r="H260" i="2"/>
  <c r="N259" i="2"/>
  <c r="R259" i="2" s="1"/>
  <c r="H259" i="2"/>
  <c r="N258" i="2"/>
  <c r="R258" i="2" s="1"/>
  <c r="H258" i="2"/>
  <c r="N257" i="2"/>
  <c r="R257" i="2" s="1"/>
  <c r="H257" i="2"/>
  <c r="N253" i="2"/>
  <c r="R253" i="2"/>
  <c r="H253" i="2"/>
  <c r="N252" i="2"/>
  <c r="R252" i="2" s="1"/>
  <c r="H252" i="2"/>
  <c r="N251" i="2"/>
  <c r="R251" i="2" s="1"/>
  <c r="H251" i="2"/>
  <c r="N250" i="2"/>
  <c r="R250" i="2" s="1"/>
  <c r="H250" i="2"/>
  <c r="N249" i="2"/>
  <c r="R249" i="2" s="1"/>
  <c r="K249" i="2"/>
  <c r="H249" i="2"/>
  <c r="N248" i="2"/>
  <c r="R248" i="2" s="1"/>
  <c r="H248" i="2"/>
  <c r="N247" i="2"/>
  <c r="R247" i="2" s="1"/>
  <c r="H247" i="2"/>
  <c r="N246" i="2"/>
  <c r="R246" i="2"/>
  <c r="H246" i="2"/>
  <c r="N245" i="2"/>
  <c r="R245" i="2" s="1"/>
  <c r="H245" i="2"/>
  <c r="N244" i="2"/>
  <c r="R244" i="2"/>
  <c r="K244" i="2"/>
  <c r="H244" i="2"/>
  <c r="N243" i="2"/>
  <c r="R243" i="2" s="1"/>
  <c r="H243" i="2"/>
  <c r="N242" i="2"/>
  <c r="R242" i="2" s="1"/>
  <c r="H242" i="2"/>
  <c r="N241" i="2"/>
  <c r="R241" i="2" s="1"/>
  <c r="H241" i="2"/>
  <c r="N240" i="2"/>
  <c r="R240" i="2" s="1"/>
  <c r="H240" i="2"/>
  <c r="N239" i="2"/>
  <c r="R239" i="2" s="1"/>
  <c r="H239" i="2"/>
  <c r="N238" i="2"/>
  <c r="R238" i="2" s="1"/>
  <c r="H238" i="2"/>
  <c r="N237" i="2"/>
  <c r="R237" i="2" s="1"/>
  <c r="H237" i="2"/>
  <c r="N236" i="2"/>
  <c r="R236" i="2" s="1"/>
  <c r="H236" i="2"/>
  <c r="N235" i="2"/>
  <c r="R235" i="2" s="1"/>
  <c r="H235" i="2"/>
  <c r="N234" i="2"/>
  <c r="R234" i="2" s="1"/>
  <c r="H234" i="2"/>
  <c r="N233" i="2"/>
  <c r="R233" i="2" s="1"/>
  <c r="H233" i="2"/>
  <c r="N232" i="2"/>
  <c r="R232" i="2" s="1"/>
  <c r="H232" i="2"/>
  <c r="N231" i="2"/>
  <c r="R231" i="2" s="1"/>
  <c r="H231" i="2"/>
  <c r="N230" i="2"/>
  <c r="R230" i="2" s="1"/>
  <c r="H230" i="2"/>
  <c r="N229" i="2"/>
  <c r="R229" i="2" s="1"/>
  <c r="H229" i="2"/>
  <c r="N228" i="2"/>
  <c r="R228" i="2" s="1"/>
  <c r="H228" i="2"/>
  <c r="N227" i="2"/>
  <c r="R227" i="2" s="1"/>
  <c r="H227" i="2"/>
  <c r="N226" i="2"/>
  <c r="R226" i="2"/>
  <c r="H226" i="2"/>
  <c r="N225" i="2"/>
  <c r="R225" i="2"/>
  <c r="K225" i="2"/>
  <c r="H225" i="2"/>
  <c r="N224" i="2"/>
  <c r="R224" i="2" s="1"/>
  <c r="H224" i="2"/>
  <c r="N223" i="2"/>
  <c r="R223" i="2"/>
  <c r="H223" i="2"/>
  <c r="N222" i="2"/>
  <c r="R222" i="2" s="1"/>
  <c r="H222" i="2"/>
  <c r="N221" i="2"/>
  <c r="R221" i="2" s="1"/>
  <c r="H221" i="2"/>
  <c r="N220" i="2"/>
  <c r="R220" i="2" s="1"/>
  <c r="K220" i="2"/>
  <c r="H220" i="2"/>
  <c r="N219" i="2"/>
  <c r="R219" i="2" s="1"/>
  <c r="H219" i="2"/>
  <c r="N218" i="2"/>
  <c r="R218" i="2" s="1"/>
  <c r="H218" i="2"/>
  <c r="N217" i="2"/>
  <c r="R217" i="2" s="1"/>
  <c r="H217" i="2"/>
  <c r="N216" i="2"/>
  <c r="R216" i="2" s="1"/>
  <c r="H216" i="2"/>
  <c r="N215" i="2"/>
  <c r="R215" i="2" s="1"/>
  <c r="H215" i="2"/>
  <c r="N214" i="2"/>
  <c r="R214" i="2" s="1"/>
  <c r="H214" i="2"/>
  <c r="N213" i="2"/>
  <c r="R213" i="2"/>
  <c r="H213" i="2"/>
  <c r="N212" i="2"/>
  <c r="R212" i="2" s="1"/>
  <c r="H212" i="2"/>
  <c r="N211" i="2"/>
  <c r="R211" i="2"/>
  <c r="H211" i="2"/>
  <c r="N210" i="2"/>
  <c r="R210" i="2" s="1"/>
  <c r="H210" i="2"/>
  <c r="N209" i="2"/>
  <c r="R209" i="2" s="1"/>
  <c r="K209" i="2"/>
  <c r="H209" i="2"/>
  <c r="N208" i="2"/>
  <c r="R208" i="2" s="1"/>
  <c r="H208" i="2"/>
  <c r="N207" i="2"/>
  <c r="R207" i="2" s="1"/>
  <c r="H207" i="2"/>
  <c r="N206" i="2"/>
  <c r="R206" i="2" s="1"/>
  <c r="K206" i="2"/>
  <c r="H206" i="2"/>
  <c r="N205" i="2"/>
  <c r="R205" i="2" s="1"/>
  <c r="H205" i="2"/>
  <c r="N204" i="2"/>
  <c r="R204" i="2"/>
  <c r="H204" i="2"/>
  <c r="N203" i="2"/>
  <c r="R203" i="2"/>
  <c r="H203" i="2"/>
  <c r="N202" i="2"/>
  <c r="R202" i="2" s="1"/>
  <c r="H202" i="2"/>
  <c r="N201" i="2"/>
  <c r="R201" i="2"/>
  <c r="H201" i="2"/>
  <c r="N200" i="2"/>
  <c r="R200" i="2" s="1"/>
  <c r="K200" i="2"/>
  <c r="H200" i="2"/>
  <c r="N199" i="2"/>
  <c r="R199" i="2" s="1"/>
  <c r="H199" i="2"/>
  <c r="N198" i="2"/>
  <c r="R198" i="2"/>
  <c r="K198" i="2"/>
  <c r="H198" i="2"/>
  <c r="N197" i="2"/>
  <c r="R197" i="2" s="1"/>
  <c r="H197" i="2"/>
  <c r="N196" i="2"/>
  <c r="R196" i="2" s="1"/>
  <c r="K196" i="2"/>
  <c r="H196" i="2"/>
  <c r="N195" i="2"/>
  <c r="R195" i="2" s="1"/>
  <c r="H195" i="2"/>
  <c r="N194" i="2"/>
  <c r="R194" i="2" s="1"/>
  <c r="H194" i="2"/>
  <c r="N193" i="2"/>
  <c r="R193" i="2"/>
  <c r="K193" i="2"/>
  <c r="H193" i="2"/>
  <c r="N192" i="2"/>
  <c r="R192" i="2" s="1"/>
  <c r="H192" i="2"/>
  <c r="N191" i="2"/>
  <c r="R191" i="2" s="1"/>
  <c r="H191" i="2"/>
  <c r="N190" i="2"/>
  <c r="R190" i="2" s="1"/>
  <c r="H190" i="2"/>
  <c r="N189" i="2"/>
  <c r="R189" i="2" s="1"/>
  <c r="H189" i="2"/>
  <c r="N188" i="2"/>
  <c r="R188" i="2" s="1"/>
  <c r="H188" i="2"/>
  <c r="N187" i="2"/>
  <c r="R187" i="2" s="1"/>
  <c r="H187" i="2"/>
  <c r="N186" i="2"/>
  <c r="R186" i="2"/>
  <c r="H186" i="2"/>
  <c r="N185" i="2"/>
  <c r="R185" i="2" s="1"/>
  <c r="H185" i="2"/>
  <c r="N184" i="2"/>
  <c r="R184" i="2" s="1"/>
  <c r="H184" i="2"/>
  <c r="N183" i="2"/>
  <c r="R183" i="2"/>
  <c r="H183" i="2"/>
  <c r="N182" i="2"/>
  <c r="R182" i="2" s="1"/>
  <c r="K182" i="2"/>
  <c r="H182" i="2"/>
  <c r="N181" i="2"/>
  <c r="R181" i="2" s="1"/>
  <c r="H181" i="2"/>
  <c r="N180" i="2"/>
  <c r="R180" i="2" s="1"/>
  <c r="H180" i="2"/>
  <c r="N179" i="2"/>
  <c r="R179" i="2"/>
  <c r="H179" i="2"/>
  <c r="N178" i="2"/>
  <c r="R178" i="2" s="1"/>
  <c r="H178" i="2"/>
  <c r="N177" i="2"/>
  <c r="R177" i="2"/>
  <c r="K177" i="2"/>
  <c r="H177" i="2"/>
  <c r="N176" i="2"/>
  <c r="R176" i="2" s="1"/>
  <c r="H176" i="2"/>
  <c r="N175" i="2"/>
  <c r="R175" i="2" s="1"/>
  <c r="H175" i="2"/>
  <c r="N174" i="2"/>
  <c r="R174" i="2" s="1"/>
  <c r="H174" i="2"/>
  <c r="N173" i="2"/>
  <c r="R173" i="2" s="1"/>
  <c r="H173" i="2"/>
  <c r="N172" i="2"/>
  <c r="R172" i="2" s="1"/>
  <c r="H172" i="2"/>
  <c r="N171" i="2"/>
  <c r="R171" i="2" s="1"/>
  <c r="H171" i="2"/>
  <c r="N170" i="2"/>
  <c r="R170" i="2" s="1"/>
  <c r="H170" i="2"/>
  <c r="N169" i="2"/>
  <c r="R169" i="2" s="1"/>
  <c r="H169" i="2"/>
  <c r="N168" i="2"/>
  <c r="R168" i="2" s="1"/>
  <c r="H168" i="2"/>
  <c r="N167" i="2"/>
  <c r="R167" i="2" s="1"/>
  <c r="H167" i="2"/>
  <c r="N166" i="2"/>
  <c r="R166" i="2"/>
  <c r="H166" i="2"/>
  <c r="N165" i="2"/>
  <c r="R165" i="2" s="1"/>
  <c r="H165" i="2"/>
  <c r="N164" i="2"/>
  <c r="R164" i="2" s="1"/>
  <c r="H164" i="2"/>
  <c r="N163" i="2"/>
  <c r="R163" i="2"/>
  <c r="H163" i="2"/>
  <c r="N162" i="2"/>
  <c r="R162" i="2" s="1"/>
  <c r="H162" i="2"/>
  <c r="N161" i="2"/>
  <c r="R161" i="2" s="1"/>
  <c r="H161" i="2"/>
  <c r="N160" i="2"/>
  <c r="R160" i="2" s="1"/>
  <c r="H160" i="2"/>
  <c r="N159" i="2"/>
  <c r="R159" i="2" s="1"/>
  <c r="H159" i="2"/>
  <c r="N158" i="2"/>
  <c r="R158" i="2" s="1"/>
  <c r="H158" i="2"/>
  <c r="N157" i="2"/>
  <c r="R157" i="2" s="1"/>
  <c r="H157" i="2"/>
  <c r="N156" i="2"/>
  <c r="R156" i="2" s="1"/>
  <c r="H156" i="2"/>
  <c r="N155" i="2"/>
  <c r="R155" i="2" s="1"/>
  <c r="H155" i="2"/>
  <c r="N154" i="2"/>
  <c r="R154" i="2" s="1"/>
  <c r="H154" i="2"/>
  <c r="N153" i="2"/>
  <c r="R153" i="2"/>
  <c r="H153" i="2"/>
  <c r="N152" i="2"/>
  <c r="R152" i="2" s="1"/>
  <c r="H152" i="2"/>
  <c r="N151" i="2"/>
  <c r="R151" i="2" s="1"/>
  <c r="H151" i="2"/>
  <c r="N150" i="2"/>
  <c r="R150" i="2"/>
  <c r="K150" i="2"/>
  <c r="H150" i="2"/>
  <c r="N149" i="2"/>
  <c r="R149" i="2" s="1"/>
  <c r="H149" i="2"/>
  <c r="N148" i="2"/>
  <c r="R148" i="2" s="1"/>
  <c r="H148" i="2"/>
  <c r="N147" i="2"/>
  <c r="R147" i="2"/>
  <c r="H147" i="2"/>
  <c r="N146" i="2"/>
  <c r="R146" i="2" s="1"/>
  <c r="H146" i="2"/>
  <c r="N145" i="2"/>
  <c r="R145" i="2" s="1"/>
  <c r="H145" i="2"/>
  <c r="N144" i="2"/>
  <c r="R144" i="2" s="1"/>
  <c r="H144" i="2"/>
  <c r="N143" i="2"/>
  <c r="R143" i="2" s="1"/>
  <c r="H143" i="2"/>
  <c r="N142" i="2"/>
  <c r="R142" i="2" s="1"/>
  <c r="H142" i="2"/>
  <c r="N141" i="2"/>
  <c r="R141" i="2" s="1"/>
  <c r="H141" i="2"/>
  <c r="N140" i="2"/>
  <c r="R140" i="2" s="1"/>
  <c r="H140" i="2"/>
  <c r="N139" i="2"/>
  <c r="R139" i="2"/>
  <c r="H139" i="2"/>
  <c r="N138" i="2"/>
  <c r="R138" i="2" s="1"/>
  <c r="H138" i="2"/>
  <c r="N137" i="2"/>
  <c r="R137" i="2" s="1"/>
  <c r="H137" i="2"/>
  <c r="N136" i="2"/>
  <c r="R136" i="2" s="1"/>
  <c r="K136" i="2"/>
  <c r="H136" i="2"/>
  <c r="N135" i="2"/>
  <c r="R135" i="2" s="1"/>
  <c r="H135" i="2"/>
  <c r="N134" i="2"/>
  <c r="R134" i="2" s="1"/>
  <c r="H134" i="2"/>
  <c r="N133" i="2"/>
  <c r="R133" i="2" s="1"/>
  <c r="H133" i="2"/>
  <c r="N132" i="2"/>
  <c r="R132" i="2" s="1"/>
  <c r="H132" i="2"/>
  <c r="N131" i="2"/>
  <c r="R131" i="2" s="1"/>
  <c r="H131" i="2"/>
  <c r="N130" i="2"/>
  <c r="R130" i="2"/>
  <c r="H130" i="2"/>
  <c r="N129" i="2"/>
  <c r="R129" i="2" s="1"/>
  <c r="H129" i="2"/>
  <c r="N128" i="2"/>
  <c r="R128" i="2" s="1"/>
  <c r="H128" i="2"/>
  <c r="N127" i="2"/>
  <c r="R127" i="2" s="1"/>
  <c r="H127" i="2"/>
  <c r="N126" i="2"/>
  <c r="R126" i="2" s="1"/>
  <c r="H126" i="2"/>
  <c r="N125" i="2"/>
  <c r="R125" i="2" s="1"/>
  <c r="H125" i="2"/>
  <c r="N124" i="2"/>
  <c r="R124" i="2" s="1"/>
  <c r="H124" i="2"/>
  <c r="N123" i="2"/>
  <c r="R123" i="2" s="1"/>
  <c r="H123" i="2"/>
  <c r="N122" i="2"/>
  <c r="R122" i="2" s="1"/>
  <c r="H122" i="2"/>
  <c r="N121" i="2"/>
  <c r="R121" i="2" s="1"/>
  <c r="H121" i="2"/>
  <c r="N120" i="2"/>
  <c r="R120" i="2" s="1"/>
  <c r="H120" i="2"/>
  <c r="N119" i="2"/>
  <c r="R119" i="2" s="1"/>
  <c r="H119" i="2"/>
  <c r="N118" i="2"/>
  <c r="R118" i="2"/>
  <c r="H118" i="2"/>
  <c r="N117" i="2"/>
  <c r="R117" i="2" s="1"/>
  <c r="H117" i="2"/>
  <c r="N116" i="2"/>
  <c r="R116" i="2" s="1"/>
  <c r="H116" i="2"/>
  <c r="N115" i="2"/>
  <c r="R115" i="2" s="1"/>
  <c r="H115" i="2"/>
  <c r="N114" i="2"/>
  <c r="R114" i="2" s="1"/>
  <c r="H114" i="2"/>
  <c r="N113" i="2"/>
  <c r="R113" i="2" s="1"/>
  <c r="H113" i="2"/>
  <c r="N112" i="2"/>
  <c r="R112" i="2" s="1"/>
  <c r="H112" i="2"/>
  <c r="N111" i="2"/>
  <c r="R111" i="2" s="1"/>
  <c r="H111" i="2"/>
  <c r="N110" i="2"/>
  <c r="R110" i="2" s="1"/>
  <c r="H110" i="2"/>
  <c r="N109" i="2"/>
  <c r="R109" i="2"/>
  <c r="H109" i="2"/>
  <c r="N108" i="2"/>
  <c r="R108" i="2" s="1"/>
  <c r="H108" i="2"/>
  <c r="N107" i="2"/>
  <c r="R107" i="2" s="1"/>
  <c r="H107" i="2"/>
  <c r="N106" i="2"/>
  <c r="R106" i="2"/>
  <c r="H106" i="2"/>
  <c r="N105" i="2"/>
  <c r="R105" i="2" s="1"/>
  <c r="H105" i="2"/>
  <c r="N104" i="2"/>
  <c r="R104" i="2" s="1"/>
  <c r="H104" i="2"/>
  <c r="N103" i="2"/>
  <c r="R103" i="2"/>
  <c r="H103" i="2"/>
  <c r="N102" i="2"/>
  <c r="R102" i="2" s="1"/>
  <c r="H102" i="2"/>
  <c r="N101" i="2"/>
  <c r="R101" i="2" s="1"/>
  <c r="H101" i="2"/>
  <c r="N100" i="2"/>
  <c r="R100" i="2" s="1"/>
  <c r="H100" i="2"/>
  <c r="N99" i="2"/>
  <c r="R99" i="2" s="1"/>
  <c r="H99" i="2"/>
  <c r="N98" i="2"/>
  <c r="R98" i="2" s="1"/>
  <c r="H98" i="2"/>
  <c r="N97" i="2"/>
  <c r="R97" i="2" s="1"/>
  <c r="H97" i="2"/>
  <c r="N96" i="2"/>
  <c r="R96" i="2" s="1"/>
  <c r="H96" i="2"/>
  <c r="N95" i="2"/>
  <c r="R95" i="2" s="1"/>
  <c r="H95" i="2"/>
  <c r="N94" i="2"/>
  <c r="R94" i="2" s="1"/>
  <c r="H94" i="2"/>
  <c r="N93" i="2"/>
  <c r="R93" i="2" s="1"/>
  <c r="H93" i="2"/>
  <c r="N92" i="2"/>
  <c r="R92" i="2" s="1"/>
  <c r="H92" i="2"/>
  <c r="N91" i="2"/>
  <c r="R91" i="2"/>
  <c r="H91" i="2"/>
  <c r="N90" i="2"/>
  <c r="R90" i="2" s="1"/>
  <c r="H90" i="2"/>
  <c r="N89" i="2"/>
  <c r="R89" i="2" s="1"/>
  <c r="H89" i="2"/>
  <c r="N88" i="2"/>
  <c r="R88" i="2" s="1"/>
  <c r="H88" i="2"/>
  <c r="N87" i="2"/>
  <c r="R87" i="2" s="1"/>
  <c r="H87" i="2"/>
  <c r="N86" i="2"/>
  <c r="R86" i="2" s="1"/>
  <c r="H86" i="2"/>
  <c r="N85" i="2"/>
  <c r="R85" i="2"/>
  <c r="H85" i="2"/>
  <c r="N84" i="2"/>
  <c r="R84" i="2" s="1"/>
  <c r="H84" i="2"/>
  <c r="N83" i="2"/>
  <c r="R83" i="2" s="1"/>
  <c r="H83" i="2"/>
  <c r="N82" i="2"/>
  <c r="R82" i="2" s="1"/>
  <c r="H82" i="2"/>
  <c r="N81" i="2"/>
  <c r="R81" i="2" s="1"/>
  <c r="H81" i="2"/>
  <c r="N80" i="2"/>
  <c r="R80" i="2" s="1"/>
  <c r="H80" i="2"/>
  <c r="N79" i="2"/>
  <c r="R79" i="2" s="1"/>
  <c r="H79" i="2"/>
  <c r="N78" i="2"/>
  <c r="R78" i="2" s="1"/>
  <c r="K78" i="2"/>
  <c r="H78" i="2"/>
  <c r="N77" i="2"/>
  <c r="R77" i="2" s="1"/>
  <c r="H77" i="2"/>
  <c r="N76" i="2"/>
  <c r="R76" i="2"/>
  <c r="K76" i="2"/>
  <c r="H76" i="2"/>
  <c r="N75" i="2"/>
  <c r="R75" i="2" s="1"/>
  <c r="H75" i="2"/>
  <c r="N74" i="2"/>
  <c r="R74" i="2" s="1"/>
  <c r="K74" i="2"/>
  <c r="H74" i="2"/>
  <c r="N73" i="2"/>
  <c r="R73" i="2" s="1"/>
  <c r="H73" i="2"/>
  <c r="N72" i="2"/>
  <c r="R72" i="2" s="1"/>
  <c r="H72" i="2"/>
  <c r="N71" i="2"/>
  <c r="R71" i="2" s="1"/>
  <c r="H71" i="2"/>
  <c r="N70" i="2"/>
  <c r="R70" i="2" s="1"/>
  <c r="H70" i="2"/>
  <c r="N69" i="2"/>
  <c r="R69" i="2" s="1"/>
  <c r="H69" i="2"/>
  <c r="N68" i="2"/>
  <c r="R68" i="2" s="1"/>
  <c r="H68" i="2"/>
  <c r="N67" i="2"/>
  <c r="R67" i="2" s="1"/>
  <c r="H67" i="2"/>
  <c r="N66" i="2"/>
  <c r="R66" i="2" s="1"/>
  <c r="K66" i="2"/>
  <c r="H66" i="2"/>
  <c r="N65" i="2"/>
  <c r="R65" i="2" s="1"/>
  <c r="H65" i="2"/>
  <c r="N64" i="2"/>
  <c r="R64" i="2" s="1"/>
  <c r="H64" i="2"/>
  <c r="N63" i="2"/>
  <c r="R63" i="2" s="1"/>
  <c r="H63" i="2"/>
  <c r="N62" i="2"/>
  <c r="R62" i="2" s="1"/>
  <c r="H62" i="2"/>
  <c r="N61" i="2"/>
  <c r="R61" i="2" s="1"/>
  <c r="H61" i="2"/>
  <c r="N60" i="2"/>
  <c r="R60" i="2" s="1"/>
  <c r="K60" i="2"/>
  <c r="H60" i="2"/>
  <c r="N59" i="2"/>
  <c r="R59" i="2" s="1"/>
  <c r="H59" i="2"/>
  <c r="N58" i="2"/>
  <c r="R58" i="2" s="1"/>
  <c r="H58" i="2"/>
  <c r="N57" i="2"/>
  <c r="R57" i="2" s="1"/>
  <c r="K57" i="2"/>
  <c r="H57" i="2"/>
  <c r="N56" i="2"/>
  <c r="R56" i="2" s="1"/>
  <c r="H56" i="2"/>
  <c r="N55" i="2"/>
  <c r="R55" i="2" s="1"/>
  <c r="H55" i="2"/>
  <c r="N54" i="2"/>
  <c r="R54" i="2" s="1"/>
  <c r="H54" i="2"/>
  <c r="N53" i="2"/>
  <c r="R53" i="2" s="1"/>
  <c r="H53" i="2"/>
  <c r="N52" i="2"/>
  <c r="R52" i="2" s="1"/>
  <c r="K52" i="2"/>
  <c r="H52" i="2"/>
  <c r="N51" i="2"/>
  <c r="R51" i="2" s="1"/>
  <c r="H51" i="2"/>
  <c r="N50" i="2"/>
  <c r="R50" i="2" s="1"/>
  <c r="H50" i="2"/>
  <c r="N49" i="2"/>
  <c r="R49" i="2" s="1"/>
  <c r="H49" i="2"/>
  <c r="N48" i="2"/>
  <c r="R48" i="2" s="1"/>
  <c r="H48" i="2"/>
  <c r="N47" i="2"/>
  <c r="R47" i="2" s="1"/>
  <c r="H47" i="2"/>
  <c r="N46" i="2"/>
  <c r="R46" i="2" s="1"/>
  <c r="H46" i="2"/>
  <c r="N45" i="2"/>
  <c r="R45" i="2" s="1"/>
  <c r="H45" i="2"/>
  <c r="N44" i="2"/>
  <c r="R44" i="2" s="1"/>
  <c r="H44" i="2"/>
  <c r="N43" i="2"/>
  <c r="R43" i="2" s="1"/>
  <c r="H43" i="2"/>
  <c r="N42" i="2"/>
  <c r="R42" i="2" s="1"/>
  <c r="K42" i="2"/>
  <c r="H42" i="2"/>
  <c r="N41" i="2"/>
  <c r="R41" i="2" s="1"/>
  <c r="H41" i="2"/>
  <c r="N40" i="2"/>
  <c r="R40" i="2" s="1"/>
  <c r="H40" i="2"/>
  <c r="N39" i="2"/>
  <c r="R39" i="2" s="1"/>
  <c r="H39" i="2"/>
  <c r="N38" i="2"/>
  <c r="R38" i="2" s="1"/>
  <c r="H38" i="2"/>
  <c r="N37" i="2"/>
  <c r="R37" i="2" s="1"/>
  <c r="H37" i="2"/>
  <c r="N36" i="2"/>
  <c r="R36" i="2" s="1"/>
  <c r="K36" i="2"/>
  <c r="H36" i="2"/>
  <c r="N35" i="2"/>
  <c r="R35" i="2" s="1"/>
  <c r="H35" i="2"/>
  <c r="N34" i="2"/>
  <c r="R34" i="2" s="1"/>
  <c r="H34" i="2"/>
  <c r="N33" i="2"/>
  <c r="R33" i="2" s="1"/>
  <c r="H33" i="2"/>
  <c r="N32" i="2"/>
  <c r="R32" i="2" s="1"/>
  <c r="H32" i="2"/>
  <c r="N31" i="2"/>
  <c r="R31" i="2" s="1"/>
  <c r="H31" i="2"/>
  <c r="N30" i="2"/>
  <c r="R30" i="2" s="1"/>
  <c r="K30" i="2"/>
  <c r="H30" i="2"/>
  <c r="N29" i="2"/>
  <c r="R29" i="2" s="1"/>
  <c r="H29" i="2"/>
  <c r="N28" i="2"/>
  <c r="R28" i="2" s="1"/>
  <c r="H28" i="2"/>
  <c r="N27" i="2"/>
  <c r="R27" i="2" s="1"/>
  <c r="K27" i="2"/>
  <c r="H27" i="2"/>
  <c r="N26" i="2"/>
  <c r="R26" i="2" s="1"/>
  <c r="H26" i="2"/>
  <c r="N25" i="2"/>
  <c r="R25" i="2" s="1"/>
  <c r="H25" i="2"/>
  <c r="N24" i="2"/>
  <c r="R24" i="2" s="1"/>
  <c r="K24" i="2"/>
  <c r="H24" i="2"/>
  <c r="N23" i="2"/>
  <c r="R23" i="2" s="1"/>
  <c r="H23" i="2"/>
  <c r="N22" i="2"/>
  <c r="R22" i="2" s="1"/>
  <c r="H22" i="2"/>
  <c r="N21" i="2"/>
  <c r="R21" i="2" s="1"/>
  <c r="H21" i="2"/>
  <c r="N20" i="2"/>
  <c r="R20" i="2" s="1"/>
  <c r="H20" i="2"/>
  <c r="N19" i="2"/>
  <c r="R19" i="2" s="1"/>
  <c r="H19" i="2"/>
  <c r="N18" i="2"/>
  <c r="R18" i="2" s="1"/>
  <c r="H18" i="2"/>
  <c r="N17" i="2"/>
  <c r="R17" i="2" s="1"/>
  <c r="H17" i="2"/>
  <c r="N16" i="2"/>
  <c r="R16" i="2" s="1"/>
  <c r="H16" i="2"/>
  <c r="N15" i="2"/>
  <c r="R15" i="2" s="1"/>
  <c r="H15" i="2"/>
  <c r="N14" i="2"/>
  <c r="R14" i="2" s="1"/>
  <c r="H14" i="2"/>
  <c r="N13" i="2"/>
  <c r="R13" i="2" s="1"/>
  <c r="H13" i="2"/>
  <c r="N12" i="2"/>
  <c r="R12" i="2" s="1"/>
  <c r="H12" i="2"/>
  <c r="N11" i="2"/>
  <c r="R11" i="2" s="1"/>
  <c r="K11" i="2"/>
  <c r="H11" i="2"/>
  <c r="Z62" i="2"/>
  <c r="N10" i="2"/>
  <c r="R10" i="2" s="1"/>
  <c r="H10" i="2"/>
  <c r="N9" i="2"/>
  <c r="R9" i="2"/>
  <c r="H9" i="2"/>
  <c r="Z130" i="2"/>
  <c r="N8" i="2"/>
  <c r="R8" i="2" s="1"/>
  <c r="H8" i="2"/>
  <c r="N7" i="2"/>
  <c r="R7" i="2" s="1"/>
  <c r="H7" i="2"/>
  <c r="R6" i="2"/>
  <c r="H6" i="2"/>
  <c r="R5" i="2"/>
  <c r="H5" i="2"/>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C14" i="4"/>
  <c r="Z96" i="2"/>
  <c r="AQ162" i="2"/>
  <c r="BH26" i="2"/>
  <c r="Z66" i="2"/>
  <c r="Z131" i="2"/>
  <c r="AQ57" i="2"/>
  <c r="BH23" i="2"/>
  <c r="BH29" i="2"/>
  <c r="B25" i="18" s="1"/>
  <c r="BH28" i="2"/>
  <c r="Z164" i="2"/>
  <c r="BH32" i="2"/>
  <c r="B17" i="10"/>
  <c r="D27" i="10"/>
  <c r="G17" i="10"/>
  <c r="D17" i="10"/>
  <c r="K19" i="8"/>
  <c r="J19" i="8"/>
  <c r="U19" i="8"/>
  <c r="K18" i="8"/>
  <c r="K20" i="8" s="1"/>
  <c r="J18" i="8"/>
  <c r="U18" i="8" s="1"/>
  <c r="K17" i="8"/>
  <c r="J17" i="8"/>
  <c r="U17" i="8" s="1"/>
  <c r="K16" i="8"/>
  <c r="J16" i="8"/>
  <c r="U16" i="8" s="1"/>
  <c r="K15" i="8"/>
  <c r="J15" i="8"/>
  <c r="U15" i="8" s="1"/>
  <c r="K14" i="8"/>
  <c r="J14" i="8"/>
  <c r="J20" i="8" s="1"/>
  <c r="U14" i="8"/>
  <c r="K13" i="8"/>
  <c r="J13" i="8"/>
  <c r="U13" i="8"/>
  <c r="K12" i="8"/>
  <c r="J12" i="8"/>
  <c r="U12" i="8"/>
  <c r="K11" i="8"/>
  <c r="J11" i="8"/>
  <c r="U11" i="8"/>
  <c r="K10" i="8"/>
  <c r="O16" i="9"/>
  <c r="R17" i="9" s="1"/>
  <c r="R20" i="9" s="1"/>
  <c r="C31" i="9"/>
  <c r="C30" i="9"/>
  <c r="C29" i="9"/>
  <c r="D28" i="9"/>
  <c r="F28" i="9" s="1"/>
  <c r="M33" i="7"/>
  <c r="J33" i="7"/>
  <c r="I33" i="7"/>
  <c r="H33" i="7"/>
  <c r="G33" i="7"/>
  <c r="F33" i="7"/>
  <c r="N32" i="7"/>
  <c r="L30" i="7"/>
  <c r="L34" i="7" s="1"/>
  <c r="J30" i="7"/>
  <c r="J34" i="7"/>
  <c r="I30" i="7"/>
  <c r="I34" i="7" s="1"/>
  <c r="H30" i="7"/>
  <c r="H34" i="7" s="1"/>
  <c r="G30" i="7"/>
  <c r="G34" i="7"/>
  <c r="F34" i="7"/>
  <c r="N23" i="7"/>
  <c r="I23" i="7"/>
  <c r="N22" i="7"/>
  <c r="I22" i="7"/>
  <c r="N21" i="7"/>
  <c r="I21" i="7"/>
  <c r="N20" i="7"/>
  <c r="I20" i="7"/>
  <c r="N19" i="7"/>
  <c r="I19" i="7"/>
  <c r="I18" i="7"/>
  <c r="N17" i="7"/>
  <c r="I17" i="7"/>
  <c r="N16" i="7"/>
  <c r="I16" i="7"/>
  <c r="N15" i="7"/>
  <c r="I15" i="7"/>
  <c r="N14" i="7"/>
  <c r="I14" i="7"/>
  <c r="N13" i="7"/>
  <c r="I13" i="7"/>
  <c r="N12" i="7"/>
  <c r="I12" i="7"/>
  <c r="N11" i="7"/>
  <c r="I11" i="7"/>
  <c r="N10" i="7"/>
  <c r="I10" i="7"/>
  <c r="N9" i="7"/>
  <c r="I9" i="7"/>
  <c r="N8" i="7"/>
  <c r="N7" i="7"/>
  <c r="I7" i="7"/>
  <c r="N6" i="7"/>
  <c r="I6" i="7"/>
  <c r="AH15" i="7"/>
  <c r="Y35" i="7" s="1"/>
  <c r="AG15" i="7"/>
  <c r="AF15" i="7"/>
  <c r="AE15" i="7"/>
  <c r="AH14" i="7"/>
  <c r="Y34" i="7" s="1"/>
  <c r="AG14" i="7"/>
  <c r="AF14" i="7"/>
  <c r="AE14" i="7"/>
  <c r="AG13" i="7"/>
  <c r="AF13" i="7"/>
  <c r="AE13" i="7"/>
  <c r="AH12" i="7"/>
  <c r="Y32" i="7" s="1"/>
  <c r="AG12" i="7"/>
  <c r="AF12" i="7"/>
  <c r="AH11" i="7"/>
  <c r="Y31" i="7" s="1"/>
  <c r="AG11" i="7"/>
  <c r="AE11" i="7"/>
  <c r="AD10" i="7"/>
  <c r="AB10" i="7"/>
  <c r="AA10" i="7"/>
  <c r="Z10" i="7"/>
  <c r="Y10" i="7"/>
  <c r="X10" i="7"/>
  <c r="AC9" i="7"/>
  <c r="AD8" i="7"/>
  <c r="AC8" i="7"/>
  <c r="AB8" i="7"/>
  <c r="AA8" i="7"/>
  <c r="Z8" i="7"/>
  <c r="Y8" i="7"/>
  <c r="X8" i="7"/>
  <c r="AD7" i="7"/>
  <c r="AC7" i="7"/>
  <c r="AB7" i="7"/>
  <c r="AA7" i="7"/>
  <c r="Z7" i="7"/>
  <c r="Y7" i="7"/>
  <c r="X7" i="7"/>
  <c r="AD6" i="7"/>
  <c r="AC6" i="7"/>
  <c r="AB6" i="7"/>
  <c r="AA6" i="7"/>
  <c r="Z6" i="7"/>
  <c r="AA23" i="7"/>
  <c r="Y6" i="7"/>
  <c r="X6" i="7"/>
  <c r="AD5" i="7"/>
  <c r="AC5" i="7"/>
  <c r="AB5" i="7"/>
  <c r="AA5" i="7"/>
  <c r="Z5" i="7"/>
  <c r="Y5" i="7"/>
  <c r="X5" i="7"/>
  <c r="AD4" i="7"/>
  <c r="AC4" i="7"/>
  <c r="AB4" i="7"/>
  <c r="AA4" i="7"/>
  <c r="Z4" i="7"/>
  <c r="AJ21" i="7"/>
  <c r="Y4" i="7"/>
  <c r="X4" i="7"/>
  <c r="E27" i="10"/>
  <c r="F27" i="10"/>
  <c r="N33" i="7"/>
  <c r="R18" i="9"/>
  <c r="AZ24" i="2" l="1"/>
  <c r="AH129" i="2"/>
  <c r="BJ105" i="2"/>
  <c r="AT162" i="2"/>
  <c r="BJ51" i="2"/>
  <c r="BJ47" i="2"/>
  <c r="BK28" i="2"/>
  <c r="BQ19" i="2"/>
  <c r="AH195" i="2"/>
  <c r="BP101" i="2"/>
  <c r="BO132" i="2"/>
  <c r="BQ10" i="2"/>
  <c r="BP99" i="2"/>
  <c r="BO93" i="2"/>
  <c r="BP108" i="2"/>
  <c r="BO127" i="2"/>
  <c r="N30" i="7"/>
  <c r="N34" i="7" s="1"/>
  <c r="H3" i="18"/>
  <c r="B8" i="10"/>
  <c r="B12" i="10"/>
  <c r="B11" i="10"/>
  <c r="B10" i="10"/>
  <c r="B13" i="10"/>
  <c r="H6" i="10"/>
  <c r="AT14" i="2"/>
  <c r="AH86" i="2"/>
  <c r="AT27" i="2"/>
  <c r="AZ51" i="2"/>
  <c r="AT63" i="2"/>
  <c r="AT126" i="2"/>
  <c r="AT166" i="2"/>
  <c r="AT168" i="2"/>
  <c r="AT128" i="2"/>
  <c r="AT73" i="2"/>
  <c r="AT100" i="2"/>
  <c r="AC143" i="2"/>
  <c r="AC162" i="2"/>
  <c r="AC182" i="2"/>
  <c r="AY121" i="2"/>
  <c r="AC30" i="2"/>
  <c r="AC73" i="2"/>
  <c r="AC82" i="2"/>
  <c r="AY39" i="2"/>
  <c r="AY7" i="2"/>
  <c r="AT41" i="2"/>
  <c r="AT80" i="2"/>
  <c r="AW20" i="2"/>
  <c r="AY97" i="2"/>
  <c r="AZ17" i="2"/>
  <c r="AY27" i="2"/>
  <c r="AY30" i="2"/>
  <c r="AH7" i="2"/>
  <c r="AY92" i="2"/>
  <c r="AY60" i="2"/>
  <c r="BP142" i="2"/>
  <c r="BO136" i="2"/>
  <c r="AY77" i="2"/>
  <c r="BQ25" i="2"/>
  <c r="BG61" i="2"/>
  <c r="BO61" i="2" s="1"/>
  <c r="AH113" i="2"/>
  <c r="BO67" i="2"/>
  <c r="AY108" i="2"/>
  <c r="BQ8" i="2"/>
  <c r="BP12" i="2"/>
  <c r="BK137" i="2"/>
  <c r="BJ125" i="2"/>
  <c r="BM130" i="2"/>
  <c r="BN121" i="2"/>
  <c r="BN103" i="2"/>
  <c r="C49" i="18" s="1"/>
  <c r="AT5" i="2"/>
  <c r="BN60" i="2"/>
  <c r="BO106" i="2"/>
  <c r="BP110" i="2"/>
  <c r="AC118" i="2"/>
  <c r="AC134" i="2"/>
  <c r="AC178" i="2"/>
  <c r="AH187" i="2"/>
  <c r="AC53" i="2"/>
  <c r="BK29" i="2"/>
  <c r="BP49" i="2"/>
  <c r="BO89" i="2"/>
  <c r="AY15" i="2"/>
  <c r="AC11" i="2"/>
  <c r="AY161" i="2"/>
  <c r="BP63" i="2"/>
  <c r="BO71" i="2"/>
  <c r="AH94" i="2"/>
  <c r="B26" i="18"/>
  <c r="D26" i="18" s="1"/>
  <c r="B21" i="18"/>
  <c r="E21" i="18" s="1"/>
  <c r="AZ147" i="2"/>
  <c r="AH24" i="2"/>
  <c r="BO50" i="2"/>
  <c r="AY83" i="2"/>
  <c r="BJ148" i="2"/>
  <c r="BN145" i="2"/>
  <c r="BJ126" i="2"/>
  <c r="BJ94" i="2"/>
  <c r="BJ89" i="2"/>
  <c r="BJ121" i="2"/>
  <c r="AH186" i="2"/>
  <c r="AT106" i="2"/>
  <c r="AT132" i="2"/>
  <c r="AY52" i="2"/>
  <c r="BO60" i="2"/>
  <c r="AZ31" i="2"/>
  <c r="AH51" i="2"/>
  <c r="BJ87" i="2"/>
  <c r="AT24" i="2"/>
  <c r="AH146" i="2"/>
  <c r="AT40" i="2"/>
  <c r="BJ149" i="2"/>
  <c r="AT46" i="2"/>
  <c r="AT86" i="2"/>
  <c r="AC179" i="2"/>
  <c r="AC188" i="2"/>
  <c r="AT118" i="2"/>
  <c r="AT119" i="2"/>
  <c r="AT6" i="2"/>
  <c r="AX11" i="2"/>
  <c r="AQ33" i="2"/>
  <c r="AS20" i="2"/>
  <c r="BN96" i="2"/>
  <c r="AT127" i="2"/>
  <c r="AC60" i="2"/>
  <c r="AC79" i="2"/>
  <c r="BJ124" i="2"/>
  <c r="BJ84" i="2"/>
  <c r="BJ70" i="2"/>
  <c r="BJ55" i="2"/>
  <c r="BJ50" i="2"/>
  <c r="BK52" i="2"/>
  <c r="BQ31" i="2"/>
  <c r="BK10" i="2"/>
  <c r="BK9" i="2"/>
  <c r="AT50" i="2"/>
  <c r="AT59" i="2"/>
  <c r="AC151" i="2"/>
  <c r="AI179" i="2"/>
  <c r="AT112" i="2"/>
  <c r="BM111" i="2"/>
  <c r="AC150" i="2"/>
  <c r="AC160" i="2"/>
  <c r="AC167" i="2"/>
  <c r="AT120" i="2"/>
  <c r="AT130" i="2"/>
  <c r="BL137" i="2"/>
  <c r="AT165" i="2"/>
  <c r="BJ62" i="2"/>
  <c r="BI59" i="2"/>
  <c r="BK19" i="2"/>
  <c r="AV156" i="2"/>
  <c r="BQ16" i="2"/>
  <c r="BP87" i="2"/>
  <c r="AH200" i="2"/>
  <c r="BN146" i="2"/>
  <c r="C67" i="18" s="1"/>
  <c r="BN142" i="2"/>
  <c r="BN136" i="2"/>
  <c r="BK59" i="2"/>
  <c r="BL33" i="2"/>
  <c r="BO11" i="2"/>
  <c r="BK5" i="2"/>
  <c r="AT17" i="2"/>
  <c r="AU20" i="2"/>
  <c r="AH99" i="2"/>
  <c r="BG98" i="2"/>
  <c r="BO98" i="2" s="1"/>
  <c r="BP129" i="2"/>
  <c r="BY10" i="2"/>
  <c r="BY11" i="2" s="1"/>
  <c r="AH50" i="2"/>
  <c r="BP30" i="2"/>
  <c r="AY8" i="2"/>
  <c r="BO144" i="2"/>
  <c r="BP140" i="2"/>
  <c r="AC10" i="2"/>
  <c r="AC41" i="2"/>
  <c r="AC99" i="2"/>
  <c r="BJ123" i="2"/>
  <c r="BJ95" i="2"/>
  <c r="BJ57" i="2"/>
  <c r="BJ53" i="2"/>
  <c r="BO8" i="2"/>
  <c r="AT48" i="2"/>
  <c r="AC199" i="2"/>
  <c r="AT110" i="2"/>
  <c r="AT145" i="2"/>
  <c r="AT152" i="2"/>
  <c r="AT18" i="2"/>
  <c r="BN128" i="2"/>
  <c r="C63" i="18" s="1"/>
  <c r="BN110" i="2"/>
  <c r="AU149" i="2"/>
  <c r="AT10" i="2"/>
  <c r="AX6" i="2"/>
  <c r="AX30" i="2"/>
  <c r="BY6" i="2"/>
  <c r="BY7" i="2" s="1"/>
  <c r="AY29" i="2"/>
  <c r="AC96" i="2"/>
  <c r="BM137" i="2"/>
  <c r="BM13" i="2"/>
  <c r="AT55" i="2"/>
  <c r="AT95" i="2"/>
  <c r="AC117" i="2"/>
  <c r="AC133" i="2"/>
  <c r="AC155" i="2"/>
  <c r="AC197" i="2"/>
  <c r="AY143" i="2"/>
  <c r="AV169" i="2"/>
  <c r="AX5" i="2"/>
  <c r="AQ20" i="2"/>
  <c r="AT31" i="2"/>
  <c r="BP92" i="2"/>
  <c r="AH141" i="2"/>
  <c r="AI5" i="2"/>
  <c r="AC46" i="2"/>
  <c r="BJ144" i="2"/>
  <c r="BJ83" i="2"/>
  <c r="BK17" i="2"/>
  <c r="BK8" i="2"/>
  <c r="AT53" i="2"/>
  <c r="AT62" i="2"/>
  <c r="AT94" i="2"/>
  <c r="AC116" i="2"/>
  <c r="AC132" i="2"/>
  <c r="AC186" i="2"/>
  <c r="AY165" i="2"/>
  <c r="AW149" i="2"/>
  <c r="AX8" i="2"/>
  <c r="AR20" i="2"/>
  <c r="AX27" i="2"/>
  <c r="BJ107" i="2"/>
  <c r="BJ97" i="2"/>
  <c r="BJ93" i="2"/>
  <c r="BN62" i="2"/>
  <c r="AT61" i="2"/>
  <c r="AT125" i="2"/>
  <c r="AX168" i="2"/>
  <c r="AT4" i="2"/>
  <c r="AX7" i="2"/>
  <c r="AT25" i="2"/>
  <c r="AY53" i="2"/>
  <c r="AX14" i="2"/>
  <c r="AI174" i="2"/>
  <c r="AC153" i="2"/>
  <c r="AX28" i="2"/>
  <c r="AY134" i="2"/>
  <c r="AY120" i="2"/>
  <c r="AG130" i="2"/>
  <c r="AT29" i="2"/>
  <c r="AY59" i="2"/>
  <c r="AG31" i="2"/>
  <c r="AX76" i="2"/>
  <c r="AX78" i="2"/>
  <c r="AT93" i="2"/>
  <c r="AC110" i="2"/>
  <c r="AC144" i="2"/>
  <c r="AI198" i="2"/>
  <c r="AT117" i="2"/>
  <c r="AY99" i="2"/>
  <c r="AU13" i="2"/>
  <c r="AC85" i="2"/>
  <c r="AC175" i="2"/>
  <c r="AG186" i="2"/>
  <c r="AG195" i="2"/>
  <c r="AT116" i="2"/>
  <c r="AX119" i="2"/>
  <c r="AG202" i="2"/>
  <c r="AT64" i="2"/>
  <c r="AT96" i="2"/>
  <c r="AG106" i="2"/>
  <c r="AG128" i="2"/>
  <c r="AB149" i="2"/>
  <c r="AG145" i="2"/>
  <c r="AY125" i="2"/>
  <c r="AG180" i="2"/>
  <c r="AC200" i="2"/>
  <c r="AT121" i="2"/>
  <c r="AX133" i="2"/>
  <c r="AY118" i="2"/>
  <c r="AG165" i="2"/>
  <c r="AH42" i="2"/>
  <c r="AY38" i="2"/>
  <c r="AH202" i="2"/>
  <c r="AY76" i="2"/>
  <c r="AY98" i="2"/>
  <c r="AH127" i="2"/>
  <c r="AH58" i="2"/>
  <c r="AX4" i="2"/>
  <c r="AH188" i="2"/>
  <c r="AY75" i="2"/>
  <c r="AI142" i="2"/>
  <c r="AH159" i="2"/>
  <c r="AC19" i="2"/>
  <c r="AG51" i="2"/>
  <c r="AC92" i="2"/>
  <c r="AX66" i="2"/>
  <c r="AT84" i="2"/>
  <c r="AX98" i="2"/>
  <c r="AB115" i="2"/>
  <c r="AC121" i="2"/>
  <c r="AC130" i="2"/>
  <c r="AG142" i="2"/>
  <c r="AC147" i="2"/>
  <c r="AG27" i="2"/>
  <c r="AY5" i="2"/>
  <c r="Y115" i="2"/>
  <c r="AH115" i="2" s="1"/>
  <c r="AH108" i="2"/>
  <c r="AG8" i="2"/>
  <c r="AH92" i="2"/>
  <c r="AY65" i="2"/>
  <c r="AI106" i="2"/>
  <c r="AT28" i="2"/>
  <c r="AH120" i="2"/>
  <c r="AG189" i="2"/>
  <c r="AT111" i="2"/>
  <c r="AX131" i="2"/>
  <c r="AH177" i="2"/>
  <c r="AH153" i="2"/>
  <c r="AC5" i="2"/>
  <c r="AC27" i="2"/>
  <c r="AI46" i="2"/>
  <c r="AC91" i="2"/>
  <c r="AC98" i="2"/>
  <c r="AV47" i="2"/>
  <c r="AT58" i="2"/>
  <c r="AT65" i="2"/>
  <c r="AC112" i="2"/>
  <c r="AF122" i="2"/>
  <c r="AC146" i="2"/>
  <c r="AH80" i="2"/>
  <c r="AH87" i="2"/>
  <c r="AH201" i="2"/>
  <c r="AH197" i="2"/>
  <c r="AC40" i="2"/>
  <c r="AX55" i="2"/>
  <c r="AH182" i="2"/>
  <c r="AG25" i="2"/>
  <c r="AG201" i="2"/>
  <c r="AH48" i="2"/>
  <c r="AY43" i="2"/>
  <c r="AC66" i="2"/>
  <c r="AC84" i="2"/>
  <c r="AI111" i="2"/>
  <c r="AC114" i="2"/>
  <c r="AC129" i="2"/>
  <c r="AC140" i="2"/>
  <c r="AC113" i="2"/>
  <c r="AY107" i="2"/>
  <c r="AH150" i="2"/>
  <c r="AY41" i="2"/>
  <c r="AH125" i="2"/>
  <c r="AC74" i="2"/>
  <c r="BJ104" i="2"/>
  <c r="BN63" i="2"/>
  <c r="AT98" i="2"/>
  <c r="AE67" i="2"/>
  <c r="Z88" i="2"/>
  <c r="BH91" i="2"/>
  <c r="BO14" i="2"/>
  <c r="AT78" i="2"/>
  <c r="AX12" i="2"/>
  <c r="AG40" i="2"/>
  <c r="AY6" i="2"/>
  <c r="AX84" i="2"/>
  <c r="AH191" i="2"/>
  <c r="AY112" i="2"/>
  <c r="AY109" i="2"/>
  <c r="Y124" i="2"/>
  <c r="AH124" i="2" s="1"/>
  <c r="AH123" i="2"/>
  <c r="BN55" i="2"/>
  <c r="AG162" i="2"/>
  <c r="AI166" i="2"/>
  <c r="AG167" i="2"/>
  <c r="AG182" i="2"/>
  <c r="AC185" i="2"/>
  <c r="AG188" i="2"/>
  <c r="AT107" i="2"/>
  <c r="AX110" i="2"/>
  <c r="AX127" i="2"/>
  <c r="AY150" i="2"/>
  <c r="BK98" i="2"/>
  <c r="AX116" i="2"/>
  <c r="AT91" i="2"/>
  <c r="AC62" i="2"/>
  <c r="AH76" i="2"/>
  <c r="AH199" i="2"/>
  <c r="BW10" i="2"/>
  <c r="BK25" i="2"/>
  <c r="BO19" i="2"/>
  <c r="BK16" i="2"/>
  <c r="BP29" i="2"/>
  <c r="AR56" i="2"/>
  <c r="AT56" i="2" s="1"/>
  <c r="AX46" i="2"/>
  <c r="AY80" i="2"/>
  <c r="Y192" i="2"/>
  <c r="AH192" i="2" s="1"/>
  <c r="AH164" i="2"/>
  <c r="BO54" i="2"/>
  <c r="AH152" i="2"/>
  <c r="AC52" i="2"/>
  <c r="AC59" i="2"/>
  <c r="AC78" i="2"/>
  <c r="BN109" i="2"/>
  <c r="BN105" i="2"/>
  <c r="BN97" i="2"/>
  <c r="BN95" i="2"/>
  <c r="BN88" i="2"/>
  <c r="AG150" i="2"/>
  <c r="AC152" i="2"/>
  <c r="AC159" i="2"/>
  <c r="AC187" i="2"/>
  <c r="AX129" i="2"/>
  <c r="AF67" i="2"/>
  <c r="BJ92" i="2"/>
  <c r="AX96" i="2"/>
  <c r="Z156" i="2"/>
  <c r="AD183" i="2"/>
  <c r="AS88" i="2"/>
  <c r="AH12" i="2"/>
  <c r="AH89" i="2"/>
  <c r="BQ18" i="2"/>
  <c r="BO17" i="2"/>
  <c r="AY93" i="2"/>
  <c r="AH116" i="2"/>
  <c r="AC195" i="2"/>
  <c r="BO109" i="2"/>
  <c r="AC189" i="2"/>
  <c r="BP148" i="2"/>
  <c r="AG55" i="2"/>
  <c r="AC61" i="2"/>
  <c r="AC75" i="2"/>
  <c r="AC80" i="2"/>
  <c r="AC95" i="2"/>
  <c r="BJ109" i="2"/>
  <c r="AT99" i="2"/>
  <c r="AE115" i="2"/>
  <c r="AC123" i="2"/>
  <c r="AC148" i="2"/>
  <c r="AI165" i="2"/>
  <c r="BJ102" i="2"/>
  <c r="AG132" i="2"/>
  <c r="AU81" i="2"/>
  <c r="AQ88" i="2"/>
  <c r="AG112" i="2"/>
  <c r="BJ33" i="2"/>
  <c r="AT79" i="2"/>
  <c r="AV88" i="2"/>
  <c r="BX10" i="2"/>
  <c r="BX11" i="2" s="1"/>
  <c r="AH162" i="2"/>
  <c r="AH110" i="2"/>
  <c r="BH130" i="2"/>
  <c r="BJ96" i="2"/>
  <c r="AA149" i="2"/>
  <c r="AT66" i="2"/>
  <c r="AX43" i="2"/>
  <c r="AT51" i="2"/>
  <c r="AX73" i="2"/>
  <c r="AG118" i="2"/>
  <c r="AY58" i="2"/>
  <c r="C77" i="18"/>
  <c r="AG46" i="2"/>
  <c r="AG83" i="2"/>
  <c r="BI20" i="2"/>
  <c r="BV6" i="2"/>
  <c r="BV7" i="2" s="1"/>
  <c r="BJ13" i="2"/>
  <c r="AX74" i="2"/>
  <c r="AX87" i="2"/>
  <c r="AC126" i="2"/>
  <c r="AC145" i="2"/>
  <c r="AG163" i="2"/>
  <c r="AC193" i="2"/>
  <c r="AC198" i="2"/>
  <c r="AX106" i="2"/>
  <c r="AW122" i="2"/>
  <c r="AX126" i="2"/>
  <c r="AT133" i="2"/>
  <c r="AH82" i="2"/>
  <c r="BI98" i="2"/>
  <c r="AX64" i="2"/>
  <c r="AT76" i="2"/>
  <c r="AG16" i="2"/>
  <c r="AH144" i="2"/>
  <c r="AH185" i="2"/>
  <c r="AY114" i="2"/>
  <c r="AX41" i="2"/>
  <c r="AR67" i="2"/>
  <c r="AX95" i="2"/>
  <c r="AH57" i="2"/>
  <c r="BK11" i="2"/>
  <c r="AH132" i="2"/>
  <c r="AY95" i="2"/>
  <c r="AX93" i="2"/>
  <c r="BO58" i="2"/>
  <c r="AY132" i="2"/>
  <c r="AH75" i="2"/>
  <c r="BO108" i="2"/>
  <c r="AH53" i="2"/>
  <c r="AY63" i="2"/>
  <c r="AY40" i="2"/>
  <c r="AC165" i="2"/>
  <c r="AH112" i="2"/>
  <c r="AY127" i="2"/>
  <c r="AY86" i="2"/>
  <c r="BP94" i="2"/>
  <c r="BP141" i="2"/>
  <c r="AG45" i="2"/>
  <c r="AC58" i="2"/>
  <c r="AC72" i="2"/>
  <c r="BM33" i="2"/>
  <c r="AC119" i="2"/>
  <c r="AT151" i="2"/>
  <c r="AT154" i="2"/>
  <c r="AG99" i="2"/>
  <c r="BJ133" i="2"/>
  <c r="AZ152" i="2"/>
  <c r="AY152" i="2"/>
  <c r="BN71" i="2"/>
  <c r="AF81" i="2"/>
  <c r="BN87" i="2"/>
  <c r="AA47" i="2"/>
  <c r="AC39" i="2"/>
  <c r="AI176" i="2"/>
  <c r="AH176" i="2"/>
  <c r="O14" i="10"/>
  <c r="AI196" i="2"/>
  <c r="AH196" i="2"/>
  <c r="AZ123" i="2"/>
  <c r="AY123" i="2"/>
  <c r="AP124" i="2"/>
  <c r="AY124" i="2" s="1"/>
  <c r="AY48" i="2"/>
  <c r="AD33" i="2"/>
  <c r="AI31" i="2"/>
  <c r="AH31" i="2"/>
  <c r="BL111" i="2"/>
  <c r="BJ135" i="2"/>
  <c r="BJ128" i="2"/>
  <c r="AH41" i="2"/>
  <c r="AI41" i="2"/>
  <c r="AA183" i="2"/>
  <c r="AC174" i="2"/>
  <c r="AI131" i="2"/>
  <c r="AH131" i="2"/>
  <c r="BN69" i="2"/>
  <c r="C40" i="18" s="1"/>
  <c r="AC50" i="2"/>
  <c r="AZ79" i="2"/>
  <c r="AY79" i="2"/>
  <c r="AI117" i="2"/>
  <c r="AH117" i="2"/>
  <c r="AC120" i="2"/>
  <c r="AG120" i="2"/>
  <c r="AI96" i="2"/>
  <c r="AH96" i="2"/>
  <c r="BJ143" i="2"/>
  <c r="BJ131" i="2"/>
  <c r="BN131" i="2"/>
  <c r="AG85" i="2"/>
  <c r="AG82" i="2"/>
  <c r="AG92" i="2"/>
  <c r="BJ138" i="2"/>
  <c r="BH139" i="2"/>
  <c r="BJ139" i="2" s="1"/>
  <c r="AC87" i="2"/>
  <c r="AG74" i="2"/>
  <c r="AG53" i="2"/>
  <c r="BP28" i="2"/>
  <c r="BQ28" i="2"/>
  <c r="AC94" i="2"/>
  <c r="AZ155" i="2"/>
  <c r="AY155" i="2"/>
  <c r="AI84" i="2"/>
  <c r="AH84" i="2"/>
  <c r="Y88" i="2"/>
  <c r="AH88" i="2" s="1"/>
  <c r="AI52" i="2"/>
  <c r="AH52" i="2"/>
  <c r="AG62" i="2"/>
  <c r="AC164" i="2"/>
  <c r="AG164" i="2"/>
  <c r="AG5" i="2"/>
  <c r="AG15" i="2"/>
  <c r="BN92" i="2"/>
  <c r="AX51" i="2"/>
  <c r="AU47" i="2"/>
  <c r="BP11" i="2"/>
  <c r="BQ11" i="2"/>
  <c r="AH181" i="2"/>
  <c r="BP62" i="2"/>
  <c r="BO62" i="2"/>
  <c r="AW88" i="2"/>
  <c r="AC7" i="2"/>
  <c r="AX49" i="2"/>
  <c r="AV54" i="2"/>
  <c r="AZ62" i="2"/>
  <c r="AY62" i="2"/>
  <c r="BN102" i="2"/>
  <c r="BJ56" i="2"/>
  <c r="BJ54" i="2"/>
  <c r="BJ43" i="2"/>
  <c r="BK31" i="2"/>
  <c r="BO21" i="2"/>
  <c r="BN20" i="2"/>
  <c r="BO7" i="2"/>
  <c r="AX45" i="2"/>
  <c r="AT129" i="2"/>
  <c r="AG39" i="2"/>
  <c r="AF169" i="2"/>
  <c r="AH93" i="2"/>
  <c r="BJ99" i="2"/>
  <c r="AH161" i="2"/>
  <c r="BO143" i="2"/>
  <c r="AH126" i="2"/>
  <c r="Z33" i="2"/>
  <c r="BJ71" i="2"/>
  <c r="BN53" i="2"/>
  <c r="BN48" i="2"/>
  <c r="BN33" i="2"/>
  <c r="AW47" i="2"/>
  <c r="AX53" i="2"/>
  <c r="AT57" i="2"/>
  <c r="AT74" i="2"/>
  <c r="AX82" i="2"/>
  <c r="AT87" i="2"/>
  <c r="AG114" i="2"/>
  <c r="AD122" i="2"/>
  <c r="AG133" i="2"/>
  <c r="Z149" i="2"/>
  <c r="AF149" i="2"/>
  <c r="AG143" i="2"/>
  <c r="AG146" i="2"/>
  <c r="AG148" i="2"/>
  <c r="AB156" i="2"/>
  <c r="AB169" i="2"/>
  <c r="AG178" i="2"/>
  <c r="AC89" i="2"/>
  <c r="BK21" i="2"/>
  <c r="AH145" i="2"/>
  <c r="AX17" i="2"/>
  <c r="AG198" i="2"/>
  <c r="AC83" i="2"/>
  <c r="Y90" i="2"/>
  <c r="AH90" i="2" s="1"/>
  <c r="BK7" i="2"/>
  <c r="AC108" i="2"/>
  <c r="AH147" i="2"/>
  <c r="AC14" i="2"/>
  <c r="AI25" i="2"/>
  <c r="AC28" i="2"/>
  <c r="AI30" i="2"/>
  <c r="AC38" i="2"/>
  <c r="AC43" i="2"/>
  <c r="AA56" i="2"/>
  <c r="AC56" i="2" s="1"/>
  <c r="AC86" i="2"/>
  <c r="BN107" i="2"/>
  <c r="C53" i="18" s="1"/>
  <c r="BN57" i="2"/>
  <c r="BO32" i="2"/>
  <c r="BQ29" i="2"/>
  <c r="AT44" i="2"/>
  <c r="AG126" i="2"/>
  <c r="AC128" i="2"/>
  <c r="AI130" i="2"/>
  <c r="AG140" i="2"/>
  <c r="AE149" i="2"/>
  <c r="AD156" i="2"/>
  <c r="AC163" i="2"/>
  <c r="BO5" i="2"/>
  <c r="AQ54" i="2"/>
  <c r="AQ169" i="2"/>
  <c r="AY96" i="2"/>
  <c r="Y54" i="2"/>
  <c r="AH54" i="2" s="1"/>
  <c r="BO16" i="2"/>
  <c r="AG185" i="2"/>
  <c r="AG199" i="2"/>
  <c r="AX114" i="2"/>
  <c r="AX24" i="2"/>
  <c r="BJ20" i="2"/>
  <c r="AC181" i="2"/>
  <c r="AE203" i="2"/>
  <c r="AW115" i="2"/>
  <c r="BI22" i="2"/>
  <c r="BO22" i="2" s="1"/>
  <c r="BV8" i="2"/>
  <c r="BV9" i="2" s="1"/>
  <c r="BO29" i="2"/>
  <c r="C25" i="18" s="1"/>
  <c r="C184" i="18" s="1"/>
  <c r="BO51" i="2"/>
  <c r="AY57" i="2"/>
  <c r="AH43" i="2"/>
  <c r="AT12" i="2"/>
  <c r="AA122" i="2"/>
  <c r="BO126" i="2"/>
  <c r="BP104" i="2"/>
  <c r="AC8" i="2"/>
  <c r="AC45" i="2"/>
  <c r="AI85" i="2"/>
  <c r="AG86" i="2"/>
  <c r="AF101" i="2"/>
  <c r="AG95" i="2"/>
  <c r="AG98" i="2"/>
  <c r="BN144" i="2"/>
  <c r="BJ142" i="2"/>
  <c r="BJ140" i="2"/>
  <c r="BN129" i="2"/>
  <c r="BJ127" i="2"/>
  <c r="BJ48" i="2"/>
  <c r="BK32" i="2"/>
  <c r="BO4" i="2"/>
  <c r="AX91" i="2"/>
  <c r="AC142" i="2"/>
  <c r="AY164" i="2"/>
  <c r="AG194" i="2"/>
  <c r="AT148" i="2"/>
  <c r="AQ13" i="2"/>
  <c r="BK12" i="2"/>
  <c r="AG176" i="2"/>
  <c r="AD190" i="2"/>
  <c r="AP122" i="2"/>
  <c r="AY122" i="2" s="1"/>
  <c r="AX99" i="2"/>
  <c r="AW54" i="2"/>
  <c r="BL20" i="2"/>
  <c r="BN43" i="2"/>
  <c r="BJ136" i="2"/>
  <c r="AC97" i="2"/>
  <c r="BO23" i="2"/>
  <c r="BN13" i="2"/>
  <c r="AX59" i="2"/>
  <c r="AG125" i="2"/>
  <c r="AG160" i="2"/>
  <c r="AD47" i="2"/>
  <c r="AT109" i="2"/>
  <c r="AX25" i="2"/>
  <c r="AB54" i="2"/>
  <c r="BW8" i="2"/>
  <c r="BW9" i="2" s="1"/>
  <c r="AX94" i="2"/>
  <c r="AY131" i="2"/>
  <c r="AS47" i="2"/>
  <c r="BH111" i="2"/>
  <c r="AX111" i="2"/>
  <c r="AY111" i="2"/>
  <c r="AG193" i="2"/>
  <c r="AT131" i="2"/>
  <c r="BP124" i="2"/>
  <c r="AX128" i="2"/>
  <c r="AX130" i="2"/>
  <c r="AQ135" i="2"/>
  <c r="AG127" i="2"/>
  <c r="AZ42" i="2"/>
  <c r="BO10" i="2"/>
  <c r="AF190" i="2"/>
  <c r="Z169" i="2"/>
  <c r="BO15" i="2"/>
  <c r="AH63" i="2"/>
  <c r="AY100" i="2"/>
  <c r="L14" i="10"/>
  <c r="BV10" i="2"/>
  <c r="AQ67" i="2"/>
  <c r="BN83" i="2"/>
  <c r="BO31" i="2"/>
  <c r="BP17" i="2"/>
  <c r="AA124" i="2"/>
  <c r="AC124" i="2" s="1"/>
  <c r="AH178" i="2"/>
  <c r="AH140" i="2"/>
  <c r="BJ88" i="2"/>
  <c r="BJ86" i="2"/>
  <c r="BN84" i="2"/>
  <c r="BN70" i="2"/>
  <c r="AT49" i="2"/>
  <c r="AG107" i="2"/>
  <c r="AE122" i="2"/>
  <c r="AU135" i="2"/>
  <c r="AX132" i="2"/>
  <c r="AT141" i="2"/>
  <c r="BK24" i="2"/>
  <c r="AC194" i="2"/>
  <c r="AG50" i="2"/>
  <c r="BZ6" i="2"/>
  <c r="BY25" i="2" s="1"/>
  <c r="BP26" i="2"/>
  <c r="AY126" i="2"/>
  <c r="AY64" i="2"/>
  <c r="AG123" i="2"/>
  <c r="Z183" i="2"/>
  <c r="AS122" i="2"/>
  <c r="AG78" i="2"/>
  <c r="AH119" i="2"/>
  <c r="AH148" i="2"/>
  <c r="AH27" i="2"/>
  <c r="BQ9" i="2"/>
  <c r="BO65" i="2"/>
  <c r="AY133" i="2"/>
  <c r="AY130" i="2"/>
  <c r="AH154" i="2"/>
  <c r="BY8" i="2"/>
  <c r="BY9" i="2" s="1"/>
  <c r="AH32" i="2"/>
  <c r="AH61" i="2"/>
  <c r="AH97" i="2"/>
  <c r="AG89" i="2"/>
  <c r="AY73" i="2"/>
  <c r="AH189" i="2"/>
  <c r="AG97" i="2"/>
  <c r="BO47" i="2"/>
  <c r="AG42" i="2"/>
  <c r="BN135" i="2"/>
  <c r="BN133" i="2"/>
  <c r="AX61" i="2"/>
  <c r="AT75" i="2"/>
  <c r="AT83" i="2"/>
  <c r="AX86" i="2"/>
  <c r="AC57" i="2"/>
  <c r="AG57" i="2"/>
  <c r="BI130" i="2"/>
  <c r="AZ4" i="2"/>
  <c r="AY4" i="2"/>
  <c r="AZ18" i="2"/>
  <c r="AP20" i="2"/>
  <c r="AY20" i="2" s="1"/>
  <c r="AZ11" i="2"/>
  <c r="AY11" i="2"/>
  <c r="AY19" i="2"/>
  <c r="AZ19" i="2"/>
  <c r="AI38" i="2"/>
  <c r="AH38" i="2"/>
  <c r="AX107" i="2"/>
  <c r="AV115" i="2"/>
  <c r="AZ21" i="2"/>
  <c r="AP22" i="2"/>
  <c r="AY22" i="2" s="1"/>
  <c r="AY21" i="2"/>
  <c r="AX26" i="2"/>
  <c r="AV33" i="2"/>
  <c r="AD169" i="2"/>
  <c r="AG159" i="2"/>
  <c r="AI168" i="2"/>
  <c r="N14" i="10"/>
  <c r="Z190" i="2"/>
  <c r="AZ113" i="2"/>
  <c r="AY113" i="2"/>
  <c r="BQ24" i="2"/>
  <c r="BN127" i="2"/>
  <c r="BJ110" i="2"/>
  <c r="AT30" i="2"/>
  <c r="AC176" i="2"/>
  <c r="AI83" i="2"/>
  <c r="AH83" i="2"/>
  <c r="AD101" i="2"/>
  <c r="AQ47" i="2"/>
  <c r="AX50" i="2"/>
  <c r="AR54" i="2"/>
  <c r="AG111" i="2"/>
  <c r="AC111" i="2"/>
  <c r="AI121" i="2"/>
  <c r="AH121" i="2"/>
  <c r="AG181" i="2"/>
  <c r="AG184" i="2"/>
  <c r="AA190" i="2"/>
  <c r="AC184" i="2"/>
  <c r="AG64" i="2"/>
  <c r="AC64" i="2"/>
  <c r="BN149" i="2"/>
  <c r="AI55" i="2"/>
  <c r="AH55" i="2"/>
  <c r="AH91" i="2"/>
  <c r="AD135" i="2"/>
  <c r="AG129" i="2"/>
  <c r="AB88" i="2"/>
  <c r="BN126" i="2"/>
  <c r="C8" i="17"/>
  <c r="BQ5" i="2"/>
  <c r="BW6" i="2"/>
  <c r="BW7" i="2" s="1"/>
  <c r="AI151" i="2"/>
  <c r="AH151" i="2"/>
  <c r="AI163" i="2"/>
  <c r="Y169" i="2"/>
  <c r="AE183" i="2"/>
  <c r="AG174" i="2"/>
  <c r="AI193" i="2"/>
  <c r="AH193" i="2"/>
  <c r="AQ115" i="2"/>
  <c r="AW13" i="2"/>
  <c r="AX10" i="2"/>
  <c r="AT39" i="2"/>
  <c r="AX109" i="2"/>
  <c r="AC49" i="2"/>
  <c r="AA54" i="2"/>
  <c r="AG96" i="2"/>
  <c r="AC100" i="2"/>
  <c r="AG100" i="2"/>
  <c r="AH100" i="2" s="1"/>
  <c r="BK18" i="2"/>
  <c r="AU54" i="2"/>
  <c r="AX48" i="2"/>
  <c r="AG28" i="2"/>
  <c r="BQ32" i="2"/>
  <c r="BK23" i="2"/>
  <c r="AY12" i="2"/>
  <c r="AY66" i="2"/>
  <c r="AX57" i="2"/>
  <c r="AH163" i="2"/>
  <c r="AE190" i="2"/>
  <c r="AG61" i="2"/>
  <c r="AG63" i="2"/>
  <c r="AC63" i="2"/>
  <c r="AG73" i="2"/>
  <c r="AI77" i="2"/>
  <c r="AH77" i="2"/>
  <c r="AG80" i="2"/>
  <c r="BP69" i="2"/>
  <c r="B40" i="18"/>
  <c r="D40" i="18" s="1"/>
  <c r="BN67" i="2"/>
  <c r="BJ67" i="2"/>
  <c r="BI61" i="2"/>
  <c r="BN61" i="2" s="1"/>
  <c r="BJ60" i="2"/>
  <c r="AI26" i="2"/>
  <c r="AH26" i="2"/>
  <c r="AC76" i="2"/>
  <c r="AG76" i="2"/>
  <c r="AT21" i="2"/>
  <c r="AX21" i="2"/>
  <c r="BN124" i="2"/>
  <c r="AI28" i="2"/>
  <c r="AH28" i="2"/>
  <c r="AB190" i="2"/>
  <c r="AG187" i="2"/>
  <c r="AI157" i="2"/>
  <c r="AH157" i="2"/>
  <c r="BN134" i="2"/>
  <c r="BJ134" i="2"/>
  <c r="AR115" i="2"/>
  <c r="AI60" i="2"/>
  <c r="AH60" i="2"/>
  <c r="AI79" i="2"/>
  <c r="AH79" i="2"/>
  <c r="AC31" i="2"/>
  <c r="AH45" i="2"/>
  <c r="AG94" i="2"/>
  <c r="AT15" i="2"/>
  <c r="AA81" i="2"/>
  <c r="BG59" i="2"/>
  <c r="BO59" i="2" s="1"/>
  <c r="BO53" i="2"/>
  <c r="BP53" i="2"/>
  <c r="B24" i="18"/>
  <c r="AF54" i="2"/>
  <c r="AT32" i="2"/>
  <c r="AX32" i="2"/>
  <c r="BL13" i="2"/>
  <c r="AA101" i="2"/>
  <c r="AY18" i="2"/>
  <c r="BP5" i="2"/>
  <c r="AX52" i="2"/>
  <c r="AT52" i="2"/>
  <c r="AH98" i="2"/>
  <c r="BI13" i="2"/>
  <c r="BQ27" i="2"/>
  <c r="BP27" i="2"/>
  <c r="AX31" i="2"/>
  <c r="BM20" i="2"/>
  <c r="AE81" i="2"/>
  <c r="BO55" i="2"/>
  <c r="BP55" i="2"/>
  <c r="BP46" i="2"/>
  <c r="BO46" i="2"/>
  <c r="BX8" i="2"/>
  <c r="BW28" i="2" s="1"/>
  <c r="BP44" i="2"/>
  <c r="B37" i="18"/>
  <c r="D37" i="18" s="1"/>
  <c r="BO44" i="2"/>
  <c r="BX6" i="2"/>
  <c r="BW25" i="2" s="1"/>
  <c r="BK30" i="2"/>
  <c r="BO30" i="2"/>
  <c r="C26" i="18" s="1"/>
  <c r="C185" i="18" s="1"/>
  <c r="AH40" i="2"/>
  <c r="BN140" i="2"/>
  <c r="AG66" i="2"/>
  <c r="AH66" i="2" s="1"/>
  <c r="AD88" i="2"/>
  <c r="AT82" i="2"/>
  <c r="AX39" i="2"/>
  <c r="AH78" i="2"/>
  <c r="AY84" i="2"/>
  <c r="BO97" i="2"/>
  <c r="BP97" i="2"/>
  <c r="BO95" i="2"/>
  <c r="BP95" i="2"/>
  <c r="BN90" i="2"/>
  <c r="BJ90" i="2"/>
  <c r="BN82" i="2"/>
  <c r="BJ82" i="2"/>
  <c r="BK72" i="2"/>
  <c r="BK73" i="2" s="1"/>
  <c r="BM59" i="2"/>
  <c r="BN49" i="2"/>
  <c r="AR135" i="2"/>
  <c r="AX125" i="2"/>
  <c r="AZ166" i="2"/>
  <c r="AY166" i="2"/>
  <c r="AZ160" i="2"/>
  <c r="AY160" i="2"/>
  <c r="AX9" i="2"/>
  <c r="AT9" i="2"/>
  <c r="AX23" i="2"/>
  <c r="AT23" i="2"/>
  <c r="AR33" i="2"/>
  <c r="AT16" i="2"/>
  <c r="AX16" i="2"/>
  <c r="AI184" i="2"/>
  <c r="Y190" i="2"/>
  <c r="AH190" i="2" s="1"/>
  <c r="AH184" i="2"/>
  <c r="AC196" i="2"/>
  <c r="AG196" i="2"/>
  <c r="AG59" i="2"/>
  <c r="AR22" i="2"/>
  <c r="AY10" i="2"/>
  <c r="AU115" i="2"/>
  <c r="BP15" i="2"/>
  <c r="BQ15" i="2"/>
  <c r="AC161" i="2"/>
  <c r="AG161" i="2"/>
  <c r="BJ146" i="2"/>
  <c r="AI74" i="2"/>
  <c r="AH74" i="2"/>
  <c r="AC55" i="2"/>
  <c r="AH73" i="2"/>
  <c r="AT8" i="2"/>
  <c r="AX15" i="2"/>
  <c r="AC201" i="2"/>
  <c r="AZ106" i="2"/>
  <c r="AZ119" i="2"/>
  <c r="AG32" i="2"/>
  <c r="AC32" i="2"/>
  <c r="AF47" i="2"/>
  <c r="AG48" i="2"/>
  <c r="AC48" i="2"/>
  <c r="AG60" i="2"/>
  <c r="AG79" i="2"/>
  <c r="BM98" i="2"/>
  <c r="BO90" i="2"/>
  <c r="B50" i="18"/>
  <c r="D50" i="18" s="1"/>
  <c r="BY4" i="2"/>
  <c r="BY5" i="2" s="1"/>
  <c r="BP88" i="2"/>
  <c r="BO88" i="2"/>
  <c r="BP86" i="2"/>
  <c r="B52" i="18"/>
  <c r="D52" i="18" s="1"/>
  <c r="B56" i="18"/>
  <c r="D56" i="18" s="1"/>
  <c r="BO84" i="2"/>
  <c r="BL59" i="2"/>
  <c r="BL52" i="2"/>
  <c r="BN47" i="2"/>
  <c r="BO28" i="2"/>
  <c r="AI109" i="2"/>
  <c r="AH109" i="2"/>
  <c r="AI114" i="2"/>
  <c r="AH114" i="2"/>
  <c r="AC127" i="2"/>
  <c r="AA135" i="2"/>
  <c r="AI59" i="2"/>
  <c r="AH59" i="2"/>
  <c r="AY28" i="2"/>
  <c r="BJ122" i="2"/>
  <c r="AG72" i="2"/>
  <c r="AI49" i="2"/>
  <c r="AH49" i="2"/>
  <c r="AC6" i="2"/>
  <c r="AG6" i="2"/>
  <c r="C7" i="17"/>
  <c r="BQ7" i="2"/>
  <c r="BP7" i="2"/>
  <c r="AZ55" i="2"/>
  <c r="AY55" i="2"/>
  <c r="AY91" i="2"/>
  <c r="AA20" i="2"/>
  <c r="AC24" i="2"/>
  <c r="AG44" i="2"/>
  <c r="AD54" i="2"/>
  <c r="AA88" i="2"/>
  <c r="BL98" i="2"/>
  <c r="B55" i="18"/>
  <c r="D55" i="18" s="1"/>
  <c r="BG91" i="2"/>
  <c r="BO91" i="2" s="1"/>
  <c r="BO82" i="2"/>
  <c r="BN66" i="2"/>
  <c r="BJ66" i="2"/>
  <c r="BJ64" i="2"/>
  <c r="BN64" i="2"/>
  <c r="C35" i="18" s="1"/>
  <c r="AZ85" i="2"/>
  <c r="AY85" i="2"/>
  <c r="AS90" i="2"/>
  <c r="AT90" i="2" s="1"/>
  <c r="AT89" i="2"/>
  <c r="AU101" i="2"/>
  <c r="BO138" i="2"/>
  <c r="BP138" i="2"/>
  <c r="BI111" i="2"/>
  <c r="BJ111" i="2" s="1"/>
  <c r="B39" i="18"/>
  <c r="D39" i="18" s="1"/>
  <c r="BP68" i="2"/>
  <c r="BP64" i="2"/>
  <c r="B35" i="18"/>
  <c r="D35" i="18" s="1"/>
  <c r="BN58" i="2"/>
  <c r="BN45" i="2"/>
  <c r="BG22" i="2"/>
  <c r="BP22" i="2" s="1"/>
  <c r="Y149" i="2"/>
  <c r="AH149" i="2" s="1"/>
  <c r="BO149" i="2"/>
  <c r="BP149" i="2"/>
  <c r="BO128" i="2"/>
  <c r="B63" i="18"/>
  <c r="D63" i="18" s="1"/>
  <c r="BP122" i="2"/>
  <c r="B65" i="18"/>
  <c r="D65" i="18" s="1"/>
  <c r="BO122" i="2"/>
  <c r="AG166" i="2"/>
  <c r="AP158" i="2"/>
  <c r="AY158" i="2" s="1"/>
  <c r="AZ157" i="2"/>
  <c r="AT160" i="2"/>
  <c r="BP135" i="2"/>
  <c r="B61" i="18"/>
  <c r="BO131" i="2"/>
  <c r="BG137" i="2"/>
  <c r="BO137" i="2" s="1"/>
  <c r="BN122" i="2"/>
  <c r="BN104" i="2"/>
  <c r="BP14" i="2"/>
  <c r="BQ14" i="2"/>
  <c r="AX44" i="2"/>
  <c r="AZ146" i="2"/>
  <c r="AY146" i="2"/>
  <c r="AT163" i="2"/>
  <c r="AV13" i="2"/>
  <c r="AZ23" i="2"/>
  <c r="AP33" i="2"/>
  <c r="AY33" i="2" s="1"/>
  <c r="AX18" i="2"/>
  <c r="AU33" i="2"/>
  <c r="AW33" i="2"/>
  <c r="E25" i="18"/>
  <c r="D25" i="18"/>
  <c r="B184" i="18"/>
  <c r="BW4" i="2"/>
  <c r="BV22" i="2" s="1"/>
  <c r="AH19" i="2"/>
  <c r="AH14" i="2"/>
  <c r="AC90" i="2"/>
  <c r="BO25" i="2"/>
  <c r="C21" i="18" s="1"/>
  <c r="C180" i="18" s="1"/>
  <c r="BG20" i="2"/>
  <c r="BP20" i="2" s="1"/>
  <c r="AY23" i="2"/>
  <c r="AT45" i="2"/>
  <c r="BG100" i="2"/>
  <c r="BO100" i="2" s="1"/>
  <c r="AG84" i="2"/>
  <c r="BN148" i="2"/>
  <c r="BJ100" i="2"/>
  <c r="BN94" i="2"/>
  <c r="BN89" i="2"/>
  <c r="AG119" i="2"/>
  <c r="AF135" i="2"/>
  <c r="AT143" i="2"/>
  <c r="AX143" i="2"/>
  <c r="AX146" i="2"/>
  <c r="AT146" i="2"/>
  <c r="BL130" i="2"/>
  <c r="BO102" i="2"/>
  <c r="B48" i="18"/>
  <c r="D48" i="18" s="1"/>
  <c r="B41" i="18"/>
  <c r="D41" i="18" s="1"/>
  <c r="BP43" i="2"/>
  <c r="AY45" i="2"/>
  <c r="AZ45" i="2"/>
  <c r="Z122" i="2"/>
  <c r="AI167" i="2"/>
  <c r="AH167" i="2"/>
  <c r="AX167" i="2"/>
  <c r="BZ8" i="2"/>
  <c r="BZ9" i="2" s="1"/>
  <c r="Z67" i="2"/>
  <c r="BZ10" i="2"/>
  <c r="BY31" i="2" s="1"/>
  <c r="BQ21" i="2"/>
  <c r="BG150" i="2"/>
  <c r="BO150" i="2" s="1"/>
  <c r="BN99" i="2"/>
  <c r="AR13" i="2"/>
  <c r="BK22" i="2"/>
  <c r="BO64" i="2"/>
  <c r="BP102" i="2"/>
  <c r="BP133" i="2"/>
  <c r="BO66" i="2"/>
  <c r="AC22" i="2"/>
  <c r="AG91" i="2"/>
  <c r="BI137" i="2"/>
  <c r="BJ129" i="2"/>
  <c r="BK130" i="2"/>
  <c r="AG108" i="2"/>
  <c r="AD115" i="2"/>
  <c r="Z115" i="2"/>
  <c r="AG113" i="2"/>
  <c r="BL91" i="2"/>
  <c r="B22" i="18"/>
  <c r="AV101" i="2"/>
  <c r="AS101" i="2"/>
  <c r="AX100" i="2"/>
  <c r="BZ4" i="2"/>
  <c r="BY22" i="2" s="1"/>
  <c r="BO141" i="2"/>
  <c r="BH59" i="2"/>
  <c r="AH107" i="2"/>
  <c r="BP131" i="2"/>
  <c r="AH64" i="2"/>
  <c r="AC9" i="2"/>
  <c r="AD67" i="2"/>
  <c r="Z81" i="2"/>
  <c r="B70" i="18"/>
  <c r="D70" i="18" s="1"/>
  <c r="BP123" i="2"/>
  <c r="BO121" i="2"/>
  <c r="B69" i="18"/>
  <c r="D69" i="18" s="1"/>
  <c r="BG130" i="2"/>
  <c r="BO130" i="2" s="1"/>
  <c r="BJ101" i="2"/>
  <c r="BN101" i="2"/>
  <c r="AX40" i="2"/>
  <c r="AZ50" i="2"/>
  <c r="AY50" i="2"/>
  <c r="AV67" i="2"/>
  <c r="AX72" i="2"/>
  <c r="AV81" i="2"/>
  <c r="AX77" i="2"/>
  <c r="AX80" i="2"/>
  <c r="AX83" i="2"/>
  <c r="AH180" i="2"/>
  <c r="AG109" i="2"/>
  <c r="AX112" i="2"/>
  <c r="AT114" i="2"/>
  <c r="AZ117" i="2"/>
  <c r="AY117" i="2"/>
  <c r="AX118" i="2"/>
  <c r="AX120" i="2"/>
  <c r="Z101" i="2"/>
  <c r="BO145" i="2"/>
  <c r="AD13" i="2"/>
  <c r="AE20" i="2"/>
  <c r="AG17" i="2"/>
  <c r="Z20" i="2"/>
  <c r="AG41" i="2"/>
  <c r="AG58" i="2"/>
  <c r="AB67" i="2"/>
  <c r="AE88" i="2"/>
  <c r="BO57" i="2"/>
  <c r="B33" i="18"/>
  <c r="BP57" i="2"/>
  <c r="BN50" i="2"/>
  <c r="BH52" i="2"/>
  <c r="AX42" i="2"/>
  <c r="AT42" i="2"/>
  <c r="AZ44" i="2"/>
  <c r="AY44" i="2"/>
  <c r="AS54" i="2"/>
  <c r="AZ82" i="2"/>
  <c r="AY82" i="2"/>
  <c r="AE135" i="2"/>
  <c r="AG134" i="2"/>
  <c r="AH134" i="2" s="1"/>
  <c r="B19" i="18"/>
  <c r="C9" i="17"/>
  <c r="AU122" i="2"/>
  <c r="AQ122" i="2"/>
  <c r="AV122" i="2"/>
  <c r="AW135" i="2"/>
  <c r="AV135" i="2"/>
  <c r="AX151" i="2"/>
  <c r="AZ159" i="2"/>
  <c r="BP96" i="2"/>
  <c r="B47" i="18"/>
  <c r="BN65" i="2"/>
  <c r="BO56" i="2"/>
  <c r="B34" i="18"/>
  <c r="D34" i="18" s="1"/>
  <c r="AF156" i="2"/>
  <c r="AG153" i="2"/>
  <c r="B64" i="18"/>
  <c r="D64" i="18" s="1"/>
  <c r="B36" i="18"/>
  <c r="D36" i="18" s="1"/>
  <c r="AG147" i="2"/>
  <c r="AS115" i="2"/>
  <c r="AX147" i="2"/>
  <c r="BO125" i="2"/>
  <c r="B66" i="18"/>
  <c r="D66" i="18" s="1"/>
  <c r="BO83" i="2"/>
  <c r="B51" i="18"/>
  <c r="D51" i="18" s="1"/>
  <c r="B38" i="18"/>
  <c r="D38" i="18" s="1"/>
  <c r="BO45" i="2"/>
  <c r="B42" i="18"/>
  <c r="D42" i="18" s="1"/>
  <c r="AD203" i="2"/>
  <c r="AG200" i="2"/>
  <c r="Z203" i="2"/>
  <c r="P14" i="10"/>
  <c r="C6" i="17"/>
  <c r="AY168" i="2"/>
  <c r="AT159" i="2"/>
  <c r="B23" i="18"/>
  <c r="AG52" i="2"/>
  <c r="BP107" i="2"/>
  <c r="B53" i="18"/>
  <c r="D53" i="18" s="1"/>
  <c r="BJ103" i="2"/>
  <c r="BN93" i="2"/>
  <c r="AT167" i="2"/>
  <c r="AX165" i="2"/>
  <c r="AG38" i="2"/>
  <c r="Z54" i="2"/>
  <c r="BN147" i="2"/>
  <c r="C68" i="18" s="1"/>
  <c r="BP103" i="2"/>
  <c r="B49" i="18"/>
  <c r="D49" i="18" s="1"/>
  <c r="BH98" i="2"/>
  <c r="BH20" i="2"/>
  <c r="B20" i="18"/>
  <c r="BK15" i="2"/>
  <c r="BO12" i="2"/>
  <c r="BO9" i="2"/>
  <c r="B28" i="18"/>
  <c r="C542" i="17"/>
  <c r="C543" i="17" s="1"/>
  <c r="B27" i="18"/>
  <c r="AG121" i="2"/>
  <c r="AB135" i="2"/>
  <c r="AW169" i="2"/>
  <c r="AJ22" i="7"/>
  <c r="D3" i="20"/>
  <c r="C3" i="20"/>
  <c r="AD9" i="7"/>
  <c r="A159" i="17"/>
  <c r="A151" i="17"/>
  <c r="A145" i="17"/>
  <c r="A140" i="17"/>
  <c r="A152" i="17"/>
  <c r="A158" i="17"/>
  <c r="A150" i="17"/>
  <c r="A138" i="17"/>
  <c r="A157" i="17"/>
  <c r="A149" i="17"/>
  <c r="A144" i="17"/>
  <c r="A156" i="17"/>
  <c r="A143" i="17"/>
  <c r="A160" i="17"/>
  <c r="A148" i="17"/>
  <c r="A161" i="17"/>
  <c r="A163" i="17"/>
  <c r="A155" i="17"/>
  <c r="A147" i="17"/>
  <c r="A142" i="17"/>
  <c r="A139" i="17"/>
  <c r="A162" i="17"/>
  <c r="A154" i="17"/>
  <c r="A141" i="17"/>
  <c r="A153" i="17"/>
  <c r="A146" i="17"/>
  <c r="X9" i="7"/>
  <c r="A55" i="17"/>
  <c r="A47" i="17"/>
  <c r="A39" i="17"/>
  <c r="A34" i="17"/>
  <c r="A54" i="17"/>
  <c r="A46" i="17"/>
  <c r="A33" i="17"/>
  <c r="A49" i="17"/>
  <c r="A53" i="17"/>
  <c r="A45" i="17"/>
  <c r="A32" i="17"/>
  <c r="A44" i="17"/>
  <c r="A38" i="17"/>
  <c r="A36" i="17"/>
  <c r="A52" i="17"/>
  <c r="A31" i="17"/>
  <c r="A48" i="17"/>
  <c r="A51" i="17"/>
  <c r="A43" i="17"/>
  <c r="A37" i="17"/>
  <c r="A41" i="17"/>
  <c r="A40" i="17"/>
  <c r="A50" i="17"/>
  <c r="A42" i="17"/>
  <c r="A30" i="17"/>
  <c r="A35" i="17"/>
  <c r="Y9" i="7"/>
  <c r="AA26" i="7"/>
  <c r="A75" i="17"/>
  <c r="A67" i="17"/>
  <c r="A62" i="17"/>
  <c r="A77" i="17"/>
  <c r="A82" i="17"/>
  <c r="A74" i="17"/>
  <c r="A66" i="17"/>
  <c r="A61" i="17"/>
  <c r="A56" i="17"/>
  <c r="A81" i="17"/>
  <c r="A73" i="17"/>
  <c r="A65" i="17"/>
  <c r="A60" i="17"/>
  <c r="A80" i="17"/>
  <c r="A72" i="17"/>
  <c r="A59" i="17"/>
  <c r="A69" i="17"/>
  <c r="A76" i="17"/>
  <c r="A79" i="17"/>
  <c r="A71" i="17"/>
  <c r="A58" i="17"/>
  <c r="A78" i="17"/>
  <c r="A70" i="17"/>
  <c r="A64" i="17"/>
  <c r="A57" i="17"/>
  <c r="A63" i="17"/>
  <c r="A68" i="17"/>
  <c r="A1108" i="17"/>
  <c r="A1100" i="17"/>
  <c r="A1092" i="17"/>
  <c r="A1084" i="17"/>
  <c r="A1076" i="17"/>
  <c r="A1068" i="17"/>
  <c r="A1060" i="17"/>
  <c r="A1052" i="17"/>
  <c r="A580" i="17"/>
  <c r="A573" i="17"/>
  <c r="A566" i="17"/>
  <c r="A558" i="17"/>
  <c r="A550" i="17"/>
  <c r="A535" i="17"/>
  <c r="A527" i="17"/>
  <c r="A173" i="17"/>
  <c r="A167" i="17"/>
  <c r="A175" i="17"/>
  <c r="A1109" i="17"/>
  <c r="A1061" i="17"/>
  <c r="A581" i="17"/>
  <c r="A567" i="17"/>
  <c r="A551" i="17"/>
  <c r="A536" i="17"/>
  <c r="A174" i="17"/>
  <c r="A1107" i="17"/>
  <c r="A1099" i="17"/>
  <c r="A1091" i="17"/>
  <c r="A1083" i="17"/>
  <c r="A1075" i="17"/>
  <c r="A1067" i="17"/>
  <c r="A1059" i="17"/>
  <c r="A1051" i="17"/>
  <c r="A579" i="17"/>
  <c r="A565" i="17"/>
  <c r="A557" i="17"/>
  <c r="A549" i="17"/>
  <c r="A542" i="17"/>
  <c r="A534" i="17"/>
  <c r="A526" i="17"/>
  <c r="A172" i="17"/>
  <c r="A166" i="17"/>
  <c r="A1077" i="17"/>
  <c r="A528" i="17"/>
  <c r="A1106" i="17"/>
  <c r="A1098" i="17"/>
  <c r="A1090" i="17"/>
  <c r="A1082" i="17"/>
  <c r="A1074" i="17"/>
  <c r="A1066" i="17"/>
  <c r="A1058" i="17"/>
  <c r="A1050" i="17"/>
  <c r="A578" i="17"/>
  <c r="A572" i="17"/>
  <c r="A564" i="17"/>
  <c r="A556" i="17"/>
  <c r="A548" i="17"/>
  <c r="A541" i="17"/>
  <c r="A533" i="17"/>
  <c r="A181" i="17"/>
  <c r="A171" i="17"/>
  <c r="A165" i="17"/>
  <c r="A178" i="17"/>
  <c r="A164" i="17"/>
  <c r="A1085" i="17"/>
  <c r="A543" i="17"/>
  <c r="A1105" i="17"/>
  <c r="A1097" i="17"/>
  <c r="A1089" i="17"/>
  <c r="A1081" i="17"/>
  <c r="A1073" i="17"/>
  <c r="A1065" i="17"/>
  <c r="A1057" i="17"/>
  <c r="A577" i="17"/>
  <c r="A571" i="17"/>
  <c r="A563" i="17"/>
  <c r="A555" i="17"/>
  <c r="A547" i="17"/>
  <c r="A540" i="17"/>
  <c r="A532" i="17"/>
  <c r="A180" i="17"/>
  <c r="A1104" i="17"/>
  <c r="A1096" i="17"/>
  <c r="A1088" i="17"/>
  <c r="A1080" i="17"/>
  <c r="A1072" i="17"/>
  <c r="A1064" i="17"/>
  <c r="A1056" i="17"/>
  <c r="A576" i="17"/>
  <c r="A570" i="17"/>
  <c r="A562" i="17"/>
  <c r="A554" i="17"/>
  <c r="A546" i="17"/>
  <c r="A539" i="17"/>
  <c r="A531" i="17"/>
  <c r="A179" i="17"/>
  <c r="A177" i="17"/>
  <c r="A170" i="17"/>
  <c r="A169" i="17"/>
  <c r="A1101" i="17"/>
  <c r="A1053" i="17"/>
  <c r="A168" i="17"/>
  <c r="A1103" i="17"/>
  <c r="A1095" i="17"/>
  <c r="A1087" i="17"/>
  <c r="A1079" i="17"/>
  <c r="A1071" i="17"/>
  <c r="A1063" i="17"/>
  <c r="A1055" i="17"/>
  <c r="A575" i="17"/>
  <c r="A569" i="17"/>
  <c r="A561" i="17"/>
  <c r="A553" i="17"/>
  <c r="A545" i="17"/>
  <c r="A538" i="17"/>
  <c r="A530" i="17"/>
  <c r="A176" i="17"/>
  <c r="A1093" i="17"/>
  <c r="A1069" i="17"/>
  <c r="A1110" i="17"/>
  <c r="A1102" i="17"/>
  <c r="A1094" i="17"/>
  <c r="A1086" i="17"/>
  <c r="A1078" i="17"/>
  <c r="A1070" i="17"/>
  <c r="A1062" i="17"/>
  <c r="A1054" i="17"/>
  <c r="A574" i="17"/>
  <c r="A568" i="17"/>
  <c r="A560" i="17"/>
  <c r="A552" i="17"/>
  <c r="A544" i="17"/>
  <c r="A537" i="17"/>
  <c r="A529" i="17"/>
  <c r="A559" i="17"/>
  <c r="Z9" i="7"/>
  <c r="A27" i="17"/>
  <c r="A20" i="17"/>
  <c r="A12" i="17"/>
  <c r="A14" i="17"/>
  <c r="A13" i="17"/>
  <c r="A26" i="17"/>
  <c r="A19" i="17"/>
  <c r="A11" i="17"/>
  <c r="A7" i="17"/>
  <c r="A8" i="17"/>
  <c r="A25" i="17"/>
  <c r="A18" i="17"/>
  <c r="A10" i="17"/>
  <c r="A6" i="17"/>
  <c r="A24" i="17"/>
  <c r="A17" i="17"/>
  <c r="A5" i="17"/>
  <c r="A28" i="17"/>
  <c r="A29" i="17"/>
  <c r="A23" i="17"/>
  <c r="A16" i="17"/>
  <c r="A4" i="17"/>
  <c r="A3" i="17"/>
  <c r="A22" i="17"/>
  <c r="A15" i="17"/>
  <c r="A9" i="17"/>
  <c r="A21" i="17"/>
  <c r="A103" i="17"/>
  <c r="A95" i="17"/>
  <c r="A83" i="17"/>
  <c r="A104" i="17"/>
  <c r="A102" i="17"/>
  <c r="A94" i="17"/>
  <c r="A89" i="17"/>
  <c r="A84" i="17"/>
  <c r="A109" i="17"/>
  <c r="A101" i="17"/>
  <c r="A93" i="17"/>
  <c r="A88" i="17"/>
  <c r="A108" i="17"/>
  <c r="A100" i="17"/>
  <c r="A92" i="17"/>
  <c r="A87" i="17"/>
  <c r="A105" i="17"/>
  <c r="A107" i="17"/>
  <c r="A99" i="17"/>
  <c r="A86" i="17"/>
  <c r="A91" i="17"/>
  <c r="A90" i="17"/>
  <c r="A106" i="17"/>
  <c r="A98" i="17"/>
  <c r="A85" i="17"/>
  <c r="A97" i="17"/>
  <c r="A96" i="17"/>
  <c r="AA25" i="7"/>
  <c r="AA9" i="7"/>
  <c r="AB9" i="7"/>
  <c r="A131" i="17"/>
  <c r="A123" i="17"/>
  <c r="A112" i="17"/>
  <c r="A130" i="17"/>
  <c r="A122" i="17"/>
  <c r="A117" i="17"/>
  <c r="A110" i="17"/>
  <c r="A119" i="17"/>
  <c r="A132" i="17"/>
  <c r="A137" i="17"/>
  <c r="A129" i="17"/>
  <c r="A121" i="17"/>
  <c r="A116" i="17"/>
  <c r="A136" i="17"/>
  <c r="A128" i="17"/>
  <c r="A120" i="17"/>
  <c r="A115" i="17"/>
  <c r="A125" i="17"/>
  <c r="A111" i="17"/>
  <c r="A124" i="17"/>
  <c r="A135" i="17"/>
  <c r="A127" i="17"/>
  <c r="A114" i="17"/>
  <c r="A133" i="17"/>
  <c r="A134" i="17"/>
  <c r="A126" i="17"/>
  <c r="A113" i="17"/>
  <c r="A118" i="17"/>
  <c r="D12" i="10"/>
  <c r="D11" i="10"/>
  <c r="D10" i="10"/>
  <c r="E12" i="10"/>
  <c r="E8" i="10"/>
  <c r="AJ26" i="7"/>
  <c r="AA21" i="7"/>
  <c r="AA22" i="7"/>
  <c r="Y37" i="7"/>
  <c r="AJ23" i="7"/>
  <c r="AJ24" i="7"/>
  <c r="BZ43" i="2"/>
  <c r="BN56" i="2"/>
  <c r="AW81" i="2"/>
  <c r="Y183" i="2"/>
  <c r="AG4" i="2"/>
  <c r="BN123" i="2"/>
  <c r="AB158" i="2"/>
  <c r="AG157" i="2"/>
  <c r="AC157" i="2"/>
  <c r="AI160" i="2"/>
  <c r="AH160" i="2"/>
  <c r="AX160" i="2"/>
  <c r="AC93" i="2"/>
  <c r="AG93" i="2"/>
  <c r="AU67" i="2"/>
  <c r="AX65" i="2"/>
  <c r="AT92" i="2"/>
  <c r="AX92" i="2"/>
  <c r="AG168" i="2"/>
  <c r="AH168" i="2" s="1"/>
  <c r="AC168" i="2"/>
  <c r="AC77" i="2"/>
  <c r="AG77" i="2"/>
  <c r="AX123" i="2"/>
  <c r="AR124" i="2"/>
  <c r="AT124" i="2" s="1"/>
  <c r="AX134" i="2"/>
  <c r="AT134" i="2"/>
  <c r="AS135" i="2"/>
  <c r="BO146" i="2"/>
  <c r="BP146" i="2"/>
  <c r="AZ9" i="2"/>
  <c r="AP13" i="2"/>
  <c r="AY13" i="2" s="1"/>
  <c r="AT7" i="2"/>
  <c r="AS13" i="2"/>
  <c r="AX29" i="2"/>
  <c r="AS33" i="2"/>
  <c r="AX19" i="2"/>
  <c r="AV20" i="2"/>
  <c r="AT60" i="2"/>
  <c r="AS67" i="2"/>
  <c r="AR88" i="2"/>
  <c r="AX85" i="2"/>
  <c r="AH175" i="2"/>
  <c r="AH6" i="2"/>
  <c r="AA13" i="2"/>
  <c r="BN100" i="2"/>
  <c r="AP88" i="2"/>
  <c r="AY88" i="2" s="1"/>
  <c r="AH8" i="2"/>
  <c r="AE13" i="2"/>
  <c r="AG11" i="2"/>
  <c r="AF33" i="2"/>
  <c r="AI62" i="2"/>
  <c r="AH62" i="2"/>
  <c r="BH137" i="2"/>
  <c r="BJ132" i="2"/>
  <c r="BN132" i="2"/>
  <c r="AI155" i="2"/>
  <c r="Y156" i="2"/>
  <c r="AH156" i="2" s="1"/>
  <c r="AX113" i="2"/>
  <c r="AT113" i="2"/>
  <c r="AC17" i="2"/>
  <c r="AT72" i="2"/>
  <c r="AX97" i="2"/>
  <c r="AT77" i="2"/>
  <c r="AG110" i="2"/>
  <c r="AR101" i="2"/>
  <c r="AI16" i="2"/>
  <c r="Y20" i="2"/>
  <c r="AH20" i="2" s="1"/>
  <c r="AH16" i="2"/>
  <c r="BP134" i="2"/>
  <c r="BO134" i="2"/>
  <c r="AY110" i="2"/>
  <c r="AP115" i="2"/>
  <c r="AY115" i="2" s="1"/>
  <c r="AS81" i="2"/>
  <c r="AY74" i="2"/>
  <c r="AW101" i="2"/>
  <c r="AI10" i="2"/>
  <c r="AH10" i="2"/>
  <c r="AG14" i="2"/>
  <c r="BJ69" i="2"/>
  <c r="BI72" i="2"/>
  <c r="AX38" i="2"/>
  <c r="AT38" i="2"/>
  <c r="AR47" i="2"/>
  <c r="AD149" i="2"/>
  <c r="AG144" i="2"/>
  <c r="BH33" i="2"/>
  <c r="AC4" i="2"/>
  <c r="AX75" i="2"/>
  <c r="AX58" i="2"/>
  <c r="BL139" i="2"/>
  <c r="BN138" i="2"/>
  <c r="BP85" i="2"/>
  <c r="BO85" i="2"/>
  <c r="AI143" i="2"/>
  <c r="AH143" i="2"/>
  <c r="AE101" i="2"/>
  <c r="AG9" i="2"/>
  <c r="AX60" i="2"/>
  <c r="AA169" i="2"/>
  <c r="Z13" i="2"/>
  <c r="BM91" i="2"/>
  <c r="BN86" i="2"/>
  <c r="AG131" i="2"/>
  <c r="AC131" i="2"/>
  <c r="AI133" i="2"/>
  <c r="AH133" i="2"/>
  <c r="M14" i="10"/>
  <c r="AG141" i="2"/>
  <c r="AC141" i="2"/>
  <c r="AI194" i="2"/>
  <c r="AH194" i="2"/>
  <c r="Y203" i="2"/>
  <c r="AW67" i="2"/>
  <c r="AX63" i="2"/>
  <c r="AP135" i="2"/>
  <c r="AY135" i="2" s="1"/>
  <c r="AB101" i="2"/>
  <c r="BJ141" i="2"/>
  <c r="BI150" i="2"/>
  <c r="BO6" i="2"/>
  <c r="BK6" i="2"/>
  <c r="AI128" i="2"/>
  <c r="AH128" i="2"/>
  <c r="Y135" i="2"/>
  <c r="AB192" i="2"/>
  <c r="AG191" i="2"/>
  <c r="AC191" i="2"/>
  <c r="AU88" i="2"/>
  <c r="AG75" i="2"/>
  <c r="AC107" i="2"/>
  <c r="AT123" i="2"/>
  <c r="BO18" i="2"/>
  <c r="BN51" i="2"/>
  <c r="BN125" i="2"/>
  <c r="AR81" i="2"/>
  <c r="BJ106" i="2"/>
  <c r="AY46" i="2"/>
  <c r="AY87" i="2"/>
  <c r="AT85" i="2"/>
  <c r="AX117" i="2"/>
  <c r="BN54" i="2"/>
  <c r="AI4" i="2"/>
  <c r="AH4" i="2"/>
  <c r="AI44" i="2"/>
  <c r="AH44" i="2"/>
  <c r="BO147" i="2"/>
  <c r="BP147" i="2"/>
  <c r="BJ44" i="2"/>
  <c r="BN44" i="2"/>
  <c r="BI52" i="2"/>
  <c r="BK27" i="2"/>
  <c r="BO27" i="2"/>
  <c r="AI118" i="2"/>
  <c r="Y122" i="2"/>
  <c r="AH122" i="2" s="1"/>
  <c r="BN108" i="2"/>
  <c r="C64" i="18" s="1"/>
  <c r="BJ108" i="2"/>
  <c r="AZ94" i="2"/>
  <c r="AP101" i="2"/>
  <c r="AY101" i="2" s="1"/>
  <c r="BX4" i="2"/>
  <c r="AH11" i="2"/>
  <c r="AB81" i="2"/>
  <c r="BM52" i="2"/>
  <c r="AP47" i="2"/>
  <c r="AY47" i="2" s="1"/>
  <c r="AX89" i="2"/>
  <c r="AT97" i="2"/>
  <c r="AI9" i="2"/>
  <c r="AH9" i="2"/>
  <c r="AF13" i="2"/>
  <c r="AC42" i="2"/>
  <c r="AB47" i="2"/>
  <c r="AI95" i="2"/>
  <c r="Y101" i="2"/>
  <c r="BP48" i="2"/>
  <c r="BG52" i="2"/>
  <c r="BO52" i="2" s="1"/>
  <c r="BN46" i="2"/>
  <c r="BJ46" i="2"/>
  <c r="AB122" i="2"/>
  <c r="AG116" i="2"/>
  <c r="AG179" i="2"/>
  <c r="AF183" i="2"/>
  <c r="BZ57" i="2"/>
  <c r="C16" i="20" s="1"/>
  <c r="AC51" i="2"/>
  <c r="AT157" i="2"/>
  <c r="AR156" i="2"/>
  <c r="AU169" i="2"/>
  <c r="AX163" i="2"/>
  <c r="AY145" i="2"/>
  <c r="AY151" i="2"/>
  <c r="AZ167" i="2"/>
  <c r="AC44" i="2"/>
  <c r="BJ63" i="2"/>
  <c r="AT43" i="2"/>
  <c r="AA203" i="2"/>
  <c r="AX141" i="2"/>
  <c r="AX145" i="2"/>
  <c r="AU156" i="2"/>
  <c r="AX154" i="2"/>
  <c r="AH17" i="2"/>
  <c r="AC15" i="2"/>
  <c r="AX62" i="2"/>
  <c r="AX79" i="2"/>
  <c r="AQ101" i="2"/>
  <c r="AF115" i="2"/>
  <c r="AC109" i="2"/>
  <c r="AC125" i="2"/>
  <c r="AY154" i="2"/>
  <c r="AY148" i="2"/>
  <c r="AV149" i="2"/>
  <c r="AF20" i="2"/>
  <c r="AG19" i="2"/>
  <c r="AQ81" i="2"/>
  <c r="AY144" i="2"/>
  <c r="AG30" i="2"/>
  <c r="AG21" i="2"/>
  <c r="Y56" i="2"/>
  <c r="AH56" i="2" s="1"/>
  <c r="AG10" i="2"/>
  <c r="AI15" i="2"/>
  <c r="AD20" i="2"/>
  <c r="AC25" i="2"/>
  <c r="AG152" i="2"/>
  <c r="AG175" i="2"/>
  <c r="AC21" i="2"/>
  <c r="AG90" i="2"/>
  <c r="AY163" i="2"/>
  <c r="AT140" i="2"/>
  <c r="K14" i="10"/>
  <c r="AD81" i="2"/>
  <c r="BK111" i="2"/>
  <c r="BM72" i="2"/>
  <c r="BO24" i="2"/>
  <c r="AS149" i="2"/>
  <c r="BG13" i="2"/>
  <c r="BP13" i="2" s="1"/>
  <c r="Y81" i="2"/>
  <c r="AF88" i="2"/>
  <c r="BL150" i="2"/>
  <c r="BM150" i="2"/>
  <c r="BN85" i="2"/>
  <c r="BK91" i="2"/>
  <c r="BL72" i="2"/>
  <c r="AC166" i="2"/>
  <c r="AG22" i="2"/>
  <c r="Z47" i="2"/>
  <c r="BN106" i="2"/>
  <c r="AG117" i="2"/>
  <c r="AX152" i="2"/>
  <c r="AH29" i="2"/>
  <c r="AQ156" i="2"/>
  <c r="D32" i="9"/>
  <c r="D33" i="9"/>
  <c r="F32" i="9"/>
  <c r="U20" i="8"/>
  <c r="L183" i="13"/>
  <c r="J187" i="13"/>
  <c r="L189" i="13" s="1"/>
  <c r="P187" i="13"/>
  <c r="R189" i="13" s="1"/>
  <c r="R177" i="13"/>
  <c r="R187" i="13" s="1"/>
  <c r="AG24" i="2"/>
  <c r="AE33" i="2"/>
  <c r="AC29" i="2"/>
  <c r="AG29" i="2"/>
  <c r="AS156" i="2"/>
  <c r="AT150" i="2"/>
  <c r="AX150" i="2"/>
  <c r="K17" i="12"/>
  <c r="J285" i="2"/>
  <c r="C74" i="18" s="1"/>
  <c r="BV50" i="2"/>
  <c r="R78" i="13"/>
  <c r="R85" i="13" s="1"/>
  <c r="P85" i="13"/>
  <c r="R87" i="13" s="1"/>
  <c r="O2" i="13"/>
  <c r="R119" i="13"/>
  <c r="AI23" i="2"/>
  <c r="AH23" i="2"/>
  <c r="Y33" i="2"/>
  <c r="AA24" i="7"/>
  <c r="D29" i="9"/>
  <c r="BV4" i="2"/>
  <c r="BV43" i="2"/>
  <c r="P102" i="13"/>
  <c r="R104" i="13" s="1"/>
  <c r="O36" i="7"/>
  <c r="BV57" i="2"/>
  <c r="L102" i="13"/>
  <c r="F160" i="13"/>
  <c r="F170" i="13" s="1"/>
  <c r="D170" i="13"/>
  <c r="F172" i="13" s="1"/>
  <c r="F5" i="10"/>
  <c r="F6" i="10" s="1"/>
  <c r="H4" i="10"/>
  <c r="J17" i="13"/>
  <c r="L19" i="13" s="1"/>
  <c r="F143" i="13"/>
  <c r="F153" i="13" s="1"/>
  <c r="D153" i="13"/>
  <c r="F155" i="13" s="1"/>
  <c r="R246" i="13"/>
  <c r="R255" i="13" s="1"/>
  <c r="P255" i="13"/>
  <c r="R257" i="13" s="1"/>
  <c r="D272" i="13"/>
  <c r="F274" i="13" s="1"/>
  <c r="F262" i="13"/>
  <c r="F272" i="13" s="1"/>
  <c r="J68" i="13"/>
  <c r="L70" i="13" s="1"/>
  <c r="L153" i="13"/>
  <c r="L262" i="13"/>
  <c r="L272" i="13" s="1"/>
  <c r="J272" i="13"/>
  <c r="L274" i="13" s="1"/>
  <c r="R16" i="9"/>
  <c r="R19" i="9" s="1"/>
  <c r="R21" i="9" s="1"/>
  <c r="AJ25" i="7"/>
  <c r="Z135" i="2"/>
  <c r="R130" i="13"/>
  <c r="R136" i="13" s="1"/>
  <c r="P136" i="13"/>
  <c r="R138" i="13" s="1"/>
  <c r="L81" i="13"/>
  <c r="L85" i="13" s="1"/>
  <c r="J85" i="13"/>
  <c r="L87" i="13" s="1"/>
  <c r="L234" i="13"/>
  <c r="L238" i="13" s="1"/>
  <c r="D34" i="13"/>
  <c r="F36" i="13" s="1"/>
  <c r="F25" i="13"/>
  <c r="F34" i="13" s="1"/>
  <c r="L289" i="13"/>
  <c r="L296" i="13"/>
  <c r="L306" i="13" s="1"/>
  <c r="J306" i="13"/>
  <c r="L308" i="13" s="1"/>
  <c r="L196" i="13"/>
  <c r="J204" i="13"/>
  <c r="L206" i="13" s="1"/>
  <c r="P17" i="13"/>
  <c r="R19" i="13" s="1"/>
  <c r="F136" i="13"/>
  <c r="AG26" i="2"/>
  <c r="AB33" i="2"/>
  <c r="AC26" i="2"/>
  <c r="J136" i="13"/>
  <c r="L138" i="13" s="1"/>
  <c r="L41" i="13"/>
  <c r="L51" i="13" s="1"/>
  <c r="J51" i="13"/>
  <c r="L53" i="13" s="1"/>
  <c r="F60" i="13"/>
  <c r="F68" i="13" s="1"/>
  <c r="D136" i="13"/>
  <c r="F138" i="13" s="1"/>
  <c r="D204" i="13"/>
  <c r="F206" i="13" s="1"/>
  <c r="P221" i="13"/>
  <c r="R223" i="13" s="1"/>
  <c r="L255" i="13"/>
  <c r="E17" i="12"/>
  <c r="E20" i="12" s="1"/>
  <c r="L8" i="13"/>
  <c r="L17" i="13" s="1"/>
  <c r="D102" i="13"/>
  <c r="F104" i="13" s="1"/>
  <c r="R97" i="13"/>
  <c r="L136" i="13"/>
  <c r="I17" i="12"/>
  <c r="J102" i="13"/>
  <c r="L104" i="13" s="1"/>
  <c r="L204" i="13"/>
  <c r="F306" i="13"/>
  <c r="F119" i="13"/>
  <c r="C17" i="12"/>
  <c r="P204" i="13"/>
  <c r="R206" i="13" s="1"/>
  <c r="R194" i="13"/>
  <c r="R204" i="13" s="1"/>
  <c r="J221" i="13"/>
  <c r="L223" i="13" s="1"/>
  <c r="L212" i="13"/>
  <c r="L221" i="13" s="1"/>
  <c r="L68" i="13"/>
  <c r="D187" i="13"/>
  <c r="F189" i="13" s="1"/>
  <c r="R68" i="13"/>
  <c r="L161" i="13"/>
  <c r="L170" i="13" s="1"/>
  <c r="D8" i="10"/>
  <c r="D13" i="10"/>
  <c r="D119" i="13"/>
  <c r="F121" i="13" s="1"/>
  <c r="J34" i="13"/>
  <c r="L36" i="13" s="1"/>
  <c r="L149" i="13"/>
  <c r="J153" i="13"/>
  <c r="L155" i="13" s="1"/>
  <c r="D255" i="13"/>
  <c r="F257" i="13" s="1"/>
  <c r="P306" i="13"/>
  <c r="R308" i="13" s="1"/>
  <c r="R298" i="13"/>
  <c r="R306" i="13" s="1"/>
  <c r="E13" i="10"/>
  <c r="R153" i="13"/>
  <c r="F92" i="13"/>
  <c r="F102" i="13" s="1"/>
  <c r="R102" i="13"/>
  <c r="P51" i="13"/>
  <c r="R53" i="13" s="1"/>
  <c r="F231" i="13"/>
  <c r="F238" i="13" s="1"/>
  <c r="D238" i="13"/>
  <c r="F240" i="13" s="1"/>
  <c r="P34" i="13"/>
  <c r="R36" i="13" s="1"/>
  <c r="J289" i="13"/>
  <c r="L291" i="13" s="1"/>
  <c r="E10" i="10"/>
  <c r="D17" i="13"/>
  <c r="F19" i="13" s="1"/>
  <c r="J119" i="13"/>
  <c r="L121" i="13" s="1"/>
  <c r="L187" i="13"/>
  <c r="R228" i="13"/>
  <c r="R238" i="13" s="1"/>
  <c r="P238" i="13"/>
  <c r="R240" i="13" s="1"/>
  <c r="P272" i="13"/>
  <c r="R274" i="13" s="1"/>
  <c r="R264" i="13"/>
  <c r="R272" i="13" s="1"/>
  <c r="P289" i="13"/>
  <c r="R291" i="13" s="1"/>
  <c r="R279" i="13"/>
  <c r="R289" i="13" s="1"/>
  <c r="D306" i="13"/>
  <c r="F308" i="13" s="1"/>
  <c r="AG87" i="2"/>
  <c r="AA33" i="2"/>
  <c r="AG23" i="2"/>
  <c r="AC23" i="2"/>
  <c r="AX158" i="2"/>
  <c r="AT158" i="2"/>
  <c r="AW156" i="2"/>
  <c r="AX153" i="2"/>
  <c r="R7" i="13"/>
  <c r="R17" i="13" s="1"/>
  <c r="AI18" i="2"/>
  <c r="AH18" i="2"/>
  <c r="AB20" i="2"/>
  <c r="AC16" i="2"/>
  <c r="AY61" i="2"/>
  <c r="AZ61" i="2"/>
  <c r="AP67" i="2"/>
  <c r="AY67" i="2" s="1"/>
  <c r="AC180" i="2"/>
  <c r="AB183" i="2"/>
  <c r="AG197" i="2"/>
  <c r="AF203" i="2"/>
  <c r="AX121" i="2"/>
  <c r="AR122" i="2"/>
  <c r="AG12" i="2"/>
  <c r="AC12" i="2"/>
  <c r="AG18" i="2"/>
  <c r="AC18" i="2"/>
  <c r="AI21" i="2"/>
  <c r="Y22" i="2"/>
  <c r="AH22" i="2" s="1"/>
  <c r="AH21" i="2"/>
  <c r="AA115" i="2"/>
  <c r="AC106" i="2"/>
  <c r="AE156" i="2"/>
  <c r="AG155" i="2"/>
  <c r="AC177" i="2"/>
  <c r="AG177" i="2"/>
  <c r="D289" i="13"/>
  <c r="F291" i="13" s="1"/>
  <c r="Y13" i="2"/>
  <c r="AB13" i="2"/>
  <c r="AG7" i="2"/>
  <c r="AI65" i="2"/>
  <c r="Y67" i="2"/>
  <c r="AH65" i="2"/>
  <c r="BJ68" i="2"/>
  <c r="BN68" i="2"/>
  <c r="BH72" i="2"/>
  <c r="BQ23" i="2"/>
  <c r="BG33" i="2"/>
  <c r="BP33" i="2" s="1"/>
  <c r="BP23" i="2"/>
  <c r="BP105" i="2"/>
  <c r="BG111" i="2"/>
  <c r="BO111" i="2" s="1"/>
  <c r="BI91" i="2"/>
  <c r="BJ85" i="2"/>
  <c r="BG72" i="2"/>
  <c r="BO70" i="2"/>
  <c r="BK26" i="2"/>
  <c r="BI33" i="2"/>
  <c r="BO26" i="2"/>
  <c r="AH72" i="2"/>
  <c r="AY78" i="2"/>
  <c r="AG43" i="2"/>
  <c r="AE47" i="2"/>
  <c r="AA67" i="2"/>
  <c r="AG65" i="2"/>
  <c r="AC65" i="2"/>
  <c r="BN143" i="2"/>
  <c r="BN141" i="2"/>
  <c r="AI39" i="2"/>
  <c r="AH39" i="2"/>
  <c r="Y47" i="2"/>
  <c r="R12" i="6"/>
  <c r="C19" i="20" s="1"/>
  <c r="AE54" i="2"/>
  <c r="AG49" i="2"/>
  <c r="AX142" i="2"/>
  <c r="AT142" i="2"/>
  <c r="AR149" i="2"/>
  <c r="AT164" i="2"/>
  <c r="AX164" i="2"/>
  <c r="AZ26" i="2"/>
  <c r="AY26" i="2"/>
  <c r="BJ145" i="2"/>
  <c r="BH150" i="2"/>
  <c r="AZ89" i="2"/>
  <c r="AP90" i="2"/>
  <c r="AY90" i="2" s="1"/>
  <c r="AG154" i="2"/>
  <c r="AC154" i="2"/>
  <c r="G13" i="10"/>
  <c r="G12" i="10"/>
  <c r="G8" i="10"/>
  <c r="G11" i="10"/>
  <c r="AG151" i="2"/>
  <c r="AA156" i="2"/>
  <c r="AY140" i="2"/>
  <c r="AP149" i="2"/>
  <c r="AZ140" i="2"/>
  <c r="AT161" i="2"/>
  <c r="AX161" i="2"/>
  <c r="AB203" i="2"/>
  <c r="AQ149" i="2"/>
  <c r="BH13" i="2"/>
  <c r="AZ72" i="2"/>
  <c r="AP81" i="2"/>
  <c r="AX148" i="2"/>
  <c r="AS169" i="2"/>
  <c r="AX162" i="2"/>
  <c r="BK150" i="2"/>
  <c r="AY129" i="2"/>
  <c r="AZ129" i="2"/>
  <c r="Y20" i="14"/>
  <c r="AE169" i="2"/>
  <c r="AT108" i="2"/>
  <c r="AX108" i="2"/>
  <c r="AT155" i="2"/>
  <c r="AX155" i="2"/>
  <c r="BJ147" i="2"/>
  <c r="H25" i="10"/>
  <c r="H24" i="10"/>
  <c r="AP54" i="2"/>
  <c r="AZ49" i="2"/>
  <c r="AC202" i="2"/>
  <c r="AZ153" i="2"/>
  <c r="AY153" i="2"/>
  <c r="AP156" i="2"/>
  <c r="AY156" i="2" s="1"/>
  <c r="AX144" i="2"/>
  <c r="H23" i="10"/>
  <c r="AT147" i="2"/>
  <c r="H22" i="10"/>
  <c r="AX140" i="2"/>
  <c r="AZ141" i="2"/>
  <c r="AR169" i="2"/>
  <c r="AZ162" i="2"/>
  <c r="AP169" i="2"/>
  <c r="AY169" i="2" s="1"/>
  <c r="AT144" i="2"/>
  <c r="AY142" i="2"/>
  <c r="AX157" i="2"/>
  <c r="AT153" i="2"/>
  <c r="AX159" i="2"/>
  <c r="AX166" i="2"/>
  <c r="C19" i="18" l="1"/>
  <c r="AG56" i="2"/>
  <c r="AV170" i="2"/>
  <c r="AC135" i="2"/>
  <c r="AT20" i="2"/>
  <c r="B185" i="18"/>
  <c r="E26" i="18"/>
  <c r="B180" i="18"/>
  <c r="D21" i="18"/>
  <c r="BG151" i="2"/>
  <c r="BP151" i="2" s="1"/>
  <c r="BV27" i="2"/>
  <c r="BM151" i="2"/>
  <c r="BX31" i="2"/>
  <c r="C33" i="18"/>
  <c r="AQ34" i="2"/>
  <c r="BX25" i="2"/>
  <c r="BJ59" i="2"/>
  <c r="BM112" i="2"/>
  <c r="AS34" i="2"/>
  <c r="C27" i="18"/>
  <c r="C186" i="18" s="1"/>
  <c r="C42" i="18"/>
  <c r="BM34" i="2"/>
  <c r="AU34" i="2"/>
  <c r="BJ34" i="2"/>
  <c r="C69" i="18"/>
  <c r="AU170" i="2"/>
  <c r="C20" i="18"/>
  <c r="C179" i="18" s="1"/>
  <c r="AX20" i="2"/>
  <c r="BO20" i="2"/>
  <c r="C23" i="18"/>
  <c r="C182" i="18" s="1"/>
  <c r="K2" i="18"/>
  <c r="BV25" i="2"/>
  <c r="BW31" i="2"/>
  <c r="AW34" i="2"/>
  <c r="AE136" i="2"/>
  <c r="Z170" i="2"/>
  <c r="AC149" i="2"/>
  <c r="AG124" i="2"/>
  <c r="AQ136" i="2"/>
  <c r="Z34" i="2"/>
  <c r="AV68" i="2"/>
  <c r="AG149" i="2"/>
  <c r="D542" i="17"/>
  <c r="D1069" i="17" s="1"/>
  <c r="AD68" i="2"/>
  <c r="AR68" i="2"/>
  <c r="F542" i="17"/>
  <c r="F1069" i="17" s="1"/>
  <c r="AS136" i="2"/>
  <c r="BX22" i="2"/>
  <c r="AW68" i="2"/>
  <c r="C24" i="18"/>
  <c r="C183" i="18" s="1"/>
  <c r="AD136" i="2"/>
  <c r="C56" i="18"/>
  <c r="C48" i="18"/>
  <c r="C47" i="18"/>
  <c r="BX24" i="2"/>
  <c r="AD204" i="2"/>
  <c r="D172" i="18"/>
  <c r="F77" i="18"/>
  <c r="AC190" i="2"/>
  <c r="BK20" i="2"/>
  <c r="AW136" i="2"/>
  <c r="BW21" i="2"/>
  <c r="BK13" i="2"/>
  <c r="BN139" i="2"/>
  <c r="AX56" i="2"/>
  <c r="AC54" i="2"/>
  <c r="AX54" i="2"/>
  <c r="BJ130" i="2"/>
  <c r="BV28" i="2"/>
  <c r="BW12" i="2"/>
  <c r="AF68" i="2"/>
  <c r="BY12" i="2"/>
  <c r="BY13" i="2" s="1"/>
  <c r="AG54" i="2"/>
  <c r="AG81" i="2"/>
  <c r="AC169" i="2"/>
  <c r="AT67" i="2"/>
  <c r="BN98" i="2"/>
  <c r="Z102" i="2"/>
  <c r="AV102" i="2"/>
  <c r="AU136" i="2"/>
  <c r="C51" i="18"/>
  <c r="D171" i="18"/>
  <c r="F74" i="18"/>
  <c r="CA4" i="2"/>
  <c r="CA5" i="2" s="1"/>
  <c r="C34" i="18"/>
  <c r="AX47" i="2"/>
  <c r="AA204" i="2"/>
  <c r="BJ137" i="2"/>
  <c r="BX28" i="2"/>
  <c r="C55" i="18"/>
  <c r="CA6" i="2"/>
  <c r="CA7" i="2" s="1"/>
  <c r="BK151" i="2"/>
  <c r="AA68" i="2"/>
  <c r="BW5" i="2"/>
  <c r="C61" i="18"/>
  <c r="AB170" i="2"/>
  <c r="AS68" i="2"/>
  <c r="BO13" i="2"/>
  <c r="Z204" i="2"/>
  <c r="AP34" i="2"/>
  <c r="AZ34" i="2" s="1"/>
  <c r="AC122" i="2"/>
  <c r="AX135" i="2"/>
  <c r="AU68" i="2"/>
  <c r="BJ61" i="2"/>
  <c r="AQ68" i="2"/>
  <c r="AQ102" i="2"/>
  <c r="AF170" i="2"/>
  <c r="BN52" i="2"/>
  <c r="AD34" i="2"/>
  <c r="AD102" i="2"/>
  <c r="AE68" i="2"/>
  <c r="BZ7" i="2"/>
  <c r="BV21" i="2"/>
  <c r="BL151" i="2"/>
  <c r="CA8" i="2"/>
  <c r="CA9" i="2" s="1"/>
  <c r="AF102" i="2"/>
  <c r="C65" i="18"/>
  <c r="AT115" i="2"/>
  <c r="AE34" i="2"/>
  <c r="AF204" i="2"/>
  <c r="AT47" i="2"/>
  <c r="C62" i="18"/>
  <c r="AV136" i="2"/>
  <c r="C28" i="18"/>
  <c r="C187" i="18" s="1"/>
  <c r="BN34" i="2"/>
  <c r="AC203" i="2"/>
  <c r="AX124" i="2"/>
  <c r="C41" i="18"/>
  <c r="E542" i="17"/>
  <c r="E1069" i="17" s="1"/>
  <c r="AG135" i="2"/>
  <c r="AH135" i="2" s="1"/>
  <c r="BN59" i="2"/>
  <c r="AC88" i="2"/>
  <c r="BX7" i="2"/>
  <c r="Z68" i="2"/>
  <c r="AC101" i="2"/>
  <c r="AX13" i="2"/>
  <c r="AV34" i="2"/>
  <c r="AA102" i="2"/>
  <c r="AG169" i="2"/>
  <c r="AH169" i="2" s="1"/>
  <c r="BW30" i="2"/>
  <c r="C39" i="18"/>
  <c r="E19" i="18"/>
  <c r="D19" i="18"/>
  <c r="K5" i="18"/>
  <c r="B178" i="18"/>
  <c r="B29" i="18"/>
  <c r="AX22" i="2"/>
  <c r="AT22" i="2"/>
  <c r="AG88" i="2"/>
  <c r="AW170" i="2"/>
  <c r="AT54" i="2"/>
  <c r="AT135" i="2"/>
  <c r="BY30" i="2"/>
  <c r="C70" i="18"/>
  <c r="D23" i="18"/>
  <c r="E23" i="18"/>
  <c r="B182" i="18"/>
  <c r="AE204" i="2"/>
  <c r="AB136" i="2"/>
  <c r="AX81" i="2"/>
  <c r="BW27" i="2"/>
  <c r="BX30" i="2"/>
  <c r="C54" i="18"/>
  <c r="AU102" i="2"/>
  <c r="Y170" i="2"/>
  <c r="N15" i="10" s="1"/>
  <c r="AE102" i="2"/>
  <c r="D47" i="18"/>
  <c r="B57" i="18"/>
  <c r="D57" i="18" s="1"/>
  <c r="AX90" i="2"/>
  <c r="C38" i="18"/>
  <c r="K4" i="18"/>
  <c r="AQ170" i="2"/>
  <c r="BI151" i="2"/>
  <c r="BH112" i="2"/>
  <c r="BL34" i="2"/>
  <c r="D33" i="18"/>
  <c r="B43" i="18"/>
  <c r="D43" i="18" s="1"/>
  <c r="BY24" i="2"/>
  <c r="BZ12" i="2"/>
  <c r="BZ13" i="2" s="1"/>
  <c r="BX9" i="2"/>
  <c r="AG20" i="2"/>
  <c r="BJ52" i="2"/>
  <c r="BY28" i="2"/>
  <c r="BY27" i="2"/>
  <c r="C66" i="18"/>
  <c r="AS102" i="2"/>
  <c r="E27" i="18"/>
  <c r="D27" i="18"/>
  <c r="B186" i="18"/>
  <c r="E22" i="18"/>
  <c r="D22" i="18"/>
  <c r="B181" i="18"/>
  <c r="C50" i="18"/>
  <c r="E24" i="18"/>
  <c r="D24" i="18"/>
  <c r="K3" i="18"/>
  <c r="B183" i="18"/>
  <c r="BH34" i="2"/>
  <c r="AD170" i="2"/>
  <c r="C36" i="18"/>
  <c r="C10" i="17"/>
  <c r="G12" i="17" s="1"/>
  <c r="D61" i="18"/>
  <c r="B71" i="18"/>
  <c r="D71" i="18" s="1"/>
  <c r="BL112" i="2"/>
  <c r="E28" i="18"/>
  <c r="D28" i="18"/>
  <c r="B187" i="18"/>
  <c r="BV24" i="2"/>
  <c r="AR34" i="2"/>
  <c r="AS170" i="2"/>
  <c r="BN137" i="2"/>
  <c r="BN111" i="2"/>
  <c r="BV30" i="2"/>
  <c r="BV31" i="2" s="1"/>
  <c r="C178" i="18"/>
  <c r="AG122" i="2"/>
  <c r="C22" i="18"/>
  <c r="C181" i="18" s="1"/>
  <c r="AG101" i="2"/>
  <c r="AH101" i="2" s="1"/>
  <c r="BH151" i="2"/>
  <c r="AR136" i="2"/>
  <c r="Z136" i="2"/>
  <c r="CA10" i="2"/>
  <c r="AP136" i="2"/>
  <c r="AZ136" i="2" s="1"/>
  <c r="BZ5" i="2"/>
  <c r="BL73" i="2"/>
  <c r="AF136" i="2"/>
  <c r="AB102" i="2"/>
  <c r="BJ98" i="2"/>
  <c r="BX21" i="2"/>
  <c r="AG190" i="2"/>
  <c r="BZ11" i="2"/>
  <c r="AX115" i="2"/>
  <c r="C52" i="18"/>
  <c r="BG34" i="2"/>
  <c r="BP34" i="2" s="1"/>
  <c r="BN130" i="2"/>
  <c r="BK112" i="2"/>
  <c r="BW24" i="2"/>
  <c r="C37" i="18"/>
  <c r="E20" i="18"/>
  <c r="D20" i="18"/>
  <c r="B179" i="18"/>
  <c r="D5" i="20"/>
  <c r="C151" i="18"/>
  <c r="C5" i="20"/>
  <c r="E3" i="20"/>
  <c r="H5" i="10"/>
  <c r="BV12" i="2"/>
  <c r="BV13" i="2" s="1"/>
  <c r="G542" i="17"/>
  <c r="BW22" i="2"/>
  <c r="BX5" i="2"/>
  <c r="BX12" i="2"/>
  <c r="BX13" i="2" s="1"/>
  <c r="AH183" i="2"/>
  <c r="Y204" i="2"/>
  <c r="BX27" i="2"/>
  <c r="AT33" i="2"/>
  <c r="AX33" i="2"/>
  <c r="BM73" i="2"/>
  <c r="AW102" i="2"/>
  <c r="BZ50" i="2"/>
  <c r="C15" i="20" s="1"/>
  <c r="AB68" i="2"/>
  <c r="AC47" i="2"/>
  <c r="Y136" i="2"/>
  <c r="AC20" i="2"/>
  <c r="AH81" i="2"/>
  <c r="Y102" i="2"/>
  <c r="BI73" i="2"/>
  <c r="AX101" i="2"/>
  <c r="AT101" i="2"/>
  <c r="AT13" i="2"/>
  <c r="AC192" i="2"/>
  <c r="AG192" i="2"/>
  <c r="AC81" i="2"/>
  <c r="AF34" i="2"/>
  <c r="AC158" i="2"/>
  <c r="AG158" i="2"/>
  <c r="AX156" i="2"/>
  <c r="AX88" i="2"/>
  <c r="AT88" i="2"/>
  <c r="BG112" i="2"/>
  <c r="BO112" i="2" s="1"/>
  <c r="BY21" i="2"/>
  <c r="AT81" i="2"/>
  <c r="AR102" i="2"/>
  <c r="AX67" i="2"/>
  <c r="H26" i="10"/>
  <c r="BV5" i="2"/>
  <c r="AG203" i="2"/>
  <c r="AH203" i="2" s="1"/>
  <c r="AB34" i="2"/>
  <c r="AG13" i="2"/>
  <c r="AC183" i="2"/>
  <c r="AB204" i="2"/>
  <c r="AG33" i="2"/>
  <c r="AH33" i="2" s="1"/>
  <c r="AC33" i="2"/>
  <c r="AC13" i="2"/>
  <c r="H8" i="10"/>
  <c r="BK33" i="2"/>
  <c r="BO33" i="2"/>
  <c r="BI34" i="2"/>
  <c r="BN72" i="2"/>
  <c r="BJ72" i="2"/>
  <c r="AA34" i="2"/>
  <c r="F29" i="9"/>
  <c r="D30" i="9"/>
  <c r="AG156" i="2"/>
  <c r="AA170" i="2"/>
  <c r="AC156" i="2"/>
  <c r="AH47" i="2"/>
  <c r="Y68" i="2"/>
  <c r="AA20" i="7"/>
  <c r="D29" i="20" s="1"/>
  <c r="AG47" i="2"/>
  <c r="F8" i="10"/>
  <c r="F11" i="10"/>
  <c r="H11" i="10" s="1"/>
  <c r="F12" i="10"/>
  <c r="H12" i="10" s="1"/>
  <c r="F13" i="10"/>
  <c r="H13" i="10" s="1"/>
  <c r="F10" i="10"/>
  <c r="H10" i="10" s="1"/>
  <c r="AY81" i="2"/>
  <c r="AP102" i="2"/>
  <c r="BO72" i="2"/>
  <c r="BG73" i="2"/>
  <c r="Q2" i="13"/>
  <c r="AP170" i="2"/>
  <c r="AY149" i="2"/>
  <c r="AX169" i="2"/>
  <c r="AT169" i="2"/>
  <c r="AY54" i="2"/>
  <c r="AP68" i="2"/>
  <c r="AE170" i="2"/>
  <c r="K20" i="12"/>
  <c r="D34" i="9"/>
  <c r="F33" i="9"/>
  <c r="BJ150" i="2"/>
  <c r="BN150" i="2"/>
  <c r="AR170" i="2"/>
  <c r="AT149" i="2"/>
  <c r="AX149" i="2"/>
  <c r="AG183" i="2"/>
  <c r="BI112" i="2"/>
  <c r="BN91" i="2"/>
  <c r="BJ91" i="2"/>
  <c r="AT156" i="2"/>
  <c r="AH13" i="2"/>
  <c r="Y34" i="2"/>
  <c r="AC67" i="2"/>
  <c r="AG67" i="2"/>
  <c r="AH67" i="2" s="1"/>
  <c r="AA136" i="2"/>
  <c r="AC115" i="2"/>
  <c r="AG115" i="2"/>
  <c r="AX122" i="2"/>
  <c r="AT122" i="2"/>
  <c r="BH73" i="2"/>
  <c r="B12" i="9" l="1"/>
  <c r="E52" i="9" s="1"/>
  <c r="E110" i="18" s="1"/>
  <c r="B16" i="9"/>
  <c r="BO151" i="2"/>
  <c r="BY23" i="2"/>
  <c r="BW11" i="2"/>
  <c r="BV11" i="2"/>
  <c r="H16" i="10"/>
  <c r="E5" i="9"/>
  <c r="W20" i="7"/>
  <c r="M16" i="10" s="1"/>
  <c r="D5" i="9"/>
  <c r="BQ34" i="2"/>
  <c r="B5" i="9"/>
  <c r="F5" i="9"/>
  <c r="E43" i="9" s="1"/>
  <c r="E101" i="18" s="1"/>
  <c r="C5" i="9"/>
  <c r="BJ151" i="2"/>
  <c r="BK34" i="2"/>
  <c r="BW13" i="2"/>
  <c r="BX34" i="2"/>
  <c r="BZ25" i="2"/>
  <c r="BZ30" i="2"/>
  <c r="BZ32" i="2" s="1"/>
  <c r="AY136" i="2"/>
  <c r="D543" i="17"/>
  <c r="H542" i="17"/>
  <c r="H543" i="17" s="1"/>
  <c r="AC136" i="2"/>
  <c r="AG170" i="2"/>
  <c r="AC68" i="2"/>
  <c r="BZ22" i="2"/>
  <c r="BN151" i="2"/>
  <c r="C14" i="20" s="1"/>
  <c r="D14" i="20" s="1"/>
  <c r="BN73" i="2"/>
  <c r="C12" i="20" s="1"/>
  <c r="D12" i="20" s="1"/>
  <c r="BZ28" i="2"/>
  <c r="AX68" i="2"/>
  <c r="BZ24" i="2"/>
  <c r="BZ26" i="2" s="1"/>
  <c r="K6" i="18"/>
  <c r="AG204" i="2"/>
  <c r="F543" i="17"/>
  <c r="BY34" i="2"/>
  <c r="AH170" i="2"/>
  <c r="E543" i="17"/>
  <c r="AC34" i="2"/>
  <c r="C57" i="18"/>
  <c r="D169" i="18" s="1"/>
  <c r="AX102" i="2"/>
  <c r="AT102" i="2"/>
  <c r="AT34" i="2"/>
  <c r="AX34" i="2"/>
  <c r="AT136" i="2"/>
  <c r="C43" i="18"/>
  <c r="D168" i="18" s="1"/>
  <c r="BJ73" i="2"/>
  <c r="BV33" i="2"/>
  <c r="BV35" i="2" s="1"/>
  <c r="BW33" i="2"/>
  <c r="BW35" i="2" s="1"/>
  <c r="AX136" i="2"/>
  <c r="BO34" i="2"/>
  <c r="C11" i="20" s="1"/>
  <c r="BP112" i="2"/>
  <c r="AY34" i="2"/>
  <c r="AT68" i="2"/>
  <c r="AC102" i="2"/>
  <c r="C71" i="18"/>
  <c r="D170" i="18" s="1"/>
  <c r="AG102" i="2"/>
  <c r="AH102" i="2" s="1"/>
  <c r="E29" i="18"/>
  <c r="C148" i="18"/>
  <c r="D29" i="18"/>
  <c r="C242" i="18"/>
  <c r="D242" i="18" s="1"/>
  <c r="B162" i="18"/>
  <c r="C248" i="18"/>
  <c r="D248" i="18" s="1"/>
  <c r="C250" i="18"/>
  <c r="D250" i="18" s="1"/>
  <c r="C238" i="18"/>
  <c r="D238" i="18" s="1"/>
  <c r="N7" i="9"/>
  <c r="N8" i="9" s="1"/>
  <c r="AI170" i="2"/>
  <c r="C29" i="18"/>
  <c r="F29" i="18" s="1"/>
  <c r="B188" i="18"/>
  <c r="F187" i="18" s="1"/>
  <c r="C188" i="18"/>
  <c r="R22" i="9"/>
  <c r="E37" i="9" s="1"/>
  <c r="E95" i="18" s="1"/>
  <c r="AC170" i="2"/>
  <c r="P15" i="10"/>
  <c r="B236" i="18"/>
  <c r="G14" i="17"/>
  <c r="H14" i="17" s="1"/>
  <c r="BN112" i="2"/>
  <c r="C13" i="20" s="1"/>
  <c r="D13" i="20" s="1"/>
  <c r="AG68" i="2"/>
  <c r="BJ112" i="2"/>
  <c r="AG136" i="2"/>
  <c r="E5" i="20"/>
  <c r="F7" i="20"/>
  <c r="D19" i="20"/>
  <c r="F23" i="6"/>
  <c r="D15" i="20"/>
  <c r="D16" i="20"/>
  <c r="D21" i="20"/>
  <c r="D17" i="20"/>
  <c r="G26" i="6"/>
  <c r="E28" i="20"/>
  <c r="F25" i="6"/>
  <c r="G24" i="6"/>
  <c r="F26" i="6"/>
  <c r="BX32" i="2"/>
  <c r="G22" i="6"/>
  <c r="G19" i="6"/>
  <c r="F21" i="6"/>
  <c r="F20" i="6"/>
  <c r="F22" i="6"/>
  <c r="G21" i="6"/>
  <c r="G25" i="6"/>
  <c r="G20" i="6"/>
  <c r="F24" i="6"/>
  <c r="F19" i="6"/>
  <c r="G23" i="6"/>
  <c r="BV23" i="2"/>
  <c r="E1070" i="17"/>
  <c r="F1070" i="17"/>
  <c r="BV32" i="2"/>
  <c r="BV26" i="2"/>
  <c r="BW32" i="2"/>
  <c r="BW23" i="2"/>
  <c r="BY29" i="2"/>
  <c r="BW26" i="2"/>
  <c r="BX26" i="2"/>
  <c r="BY26" i="2"/>
  <c r="BX23" i="2"/>
  <c r="BV29" i="2"/>
  <c r="CB57" i="2"/>
  <c r="BW29" i="2"/>
  <c r="BY32" i="2"/>
  <c r="CB50" i="2"/>
  <c r="CB43" i="2"/>
  <c r="BW34" i="2"/>
  <c r="CA12" i="2"/>
  <c r="D1070" i="17"/>
  <c r="G1069" i="17"/>
  <c r="G1070" i="17" s="1"/>
  <c r="G543" i="17"/>
  <c r="BZ21" i="2"/>
  <c r="BZ23" i="2" s="1"/>
  <c r="BY33" i="2"/>
  <c r="BY35" i="2" s="1"/>
  <c r="AI136" i="2"/>
  <c r="AH136" i="2"/>
  <c r="M15" i="10"/>
  <c r="AC204" i="2"/>
  <c r="BX29" i="2"/>
  <c r="BX33" i="2"/>
  <c r="BX35" i="2" s="1"/>
  <c r="BZ27" i="2"/>
  <c r="BZ29" i="2" s="1"/>
  <c r="AX170" i="2"/>
  <c r="AI204" i="2"/>
  <c r="O15" i="10"/>
  <c r="AH204" i="2"/>
  <c r="AI102" i="2"/>
  <c r="L15" i="10"/>
  <c r="AI34" i="2"/>
  <c r="BP73" i="2"/>
  <c r="BO73" i="2"/>
  <c r="AZ68" i="2"/>
  <c r="AY68" i="2"/>
  <c r="AZ102" i="2"/>
  <c r="AY102" i="2"/>
  <c r="F30" i="9"/>
  <c r="D31" i="9"/>
  <c r="F31" i="9" s="1"/>
  <c r="AY170" i="2"/>
  <c r="AZ170" i="2"/>
  <c r="AI68" i="2"/>
  <c r="K15" i="10"/>
  <c r="AH68" i="2"/>
  <c r="AT170" i="2"/>
  <c r="D35" i="9"/>
  <c r="F34" i="9"/>
  <c r="AG34" i="2"/>
  <c r="AH34" i="2" s="1"/>
  <c r="H17" i="10" l="1"/>
  <c r="H27" i="10" s="1"/>
  <c r="M17" i="10"/>
  <c r="K16" i="10"/>
  <c r="K17" i="10" s="1"/>
  <c r="N16" i="10"/>
  <c r="N17" i="10" s="1"/>
  <c r="N18" i="10" s="1"/>
  <c r="N19" i="10" s="1"/>
  <c r="O16" i="10"/>
  <c r="O17" i="10" s="1"/>
  <c r="L16" i="10"/>
  <c r="L17" i="10" s="1"/>
  <c r="L18" i="10" s="1"/>
  <c r="L19" i="10" s="1"/>
  <c r="N11" i="9"/>
  <c r="E36" i="9" s="1"/>
  <c r="E94" i="18" s="1"/>
  <c r="BZ31" i="2"/>
  <c r="BV34" i="2"/>
  <c r="CA11" i="2"/>
  <c r="AC23" i="7"/>
  <c r="AC26" i="7"/>
  <c r="AC25" i="7"/>
  <c r="AC20" i="7"/>
  <c r="P16" i="10"/>
  <c r="P17" i="10" s="1"/>
  <c r="P18" i="10" s="1"/>
  <c r="AC21" i="7"/>
  <c r="AC24" i="7"/>
  <c r="AC22" i="7"/>
  <c r="F57" i="18"/>
  <c r="F43" i="18"/>
  <c r="F71" i="18"/>
  <c r="D552" i="17"/>
  <c r="C10" i="20"/>
  <c r="C28" i="20" s="1"/>
  <c r="D11" i="20"/>
  <c r="D148" i="18"/>
  <c r="C149" i="18"/>
  <c r="D149" i="18" s="1"/>
  <c r="C150" i="18"/>
  <c r="D150" i="18" s="1"/>
  <c r="F188" i="18"/>
  <c r="F179" i="18"/>
  <c r="F181" i="18"/>
  <c r="F185" i="18"/>
  <c r="E168" i="18"/>
  <c r="D174" i="18"/>
  <c r="F186" i="18"/>
  <c r="F184" i="18"/>
  <c r="B164" i="18"/>
  <c r="E172" i="18"/>
  <c r="E171" i="18"/>
  <c r="E173" i="18"/>
  <c r="E170" i="18"/>
  <c r="C80" i="18"/>
  <c r="E169" i="18"/>
  <c r="CA13" i="2"/>
  <c r="D1093" i="17"/>
  <c r="H1069" i="17"/>
  <c r="M18" i="10"/>
  <c r="M19" i="10" s="1"/>
  <c r="O18" i="10"/>
  <c r="O19" i="10" s="1"/>
  <c r="BZ33" i="2"/>
  <c r="BZ35" i="2" s="1"/>
  <c r="K18" i="10"/>
  <c r="K19" i="10"/>
  <c r="D36" i="9"/>
  <c r="D37" i="9" s="1"/>
  <c r="D38" i="9" s="1"/>
  <c r="D39" i="9" s="1"/>
  <c r="D40" i="9" s="1"/>
  <c r="D41" i="9" s="1"/>
  <c r="D42" i="9" s="1"/>
  <c r="D43" i="9" s="1"/>
  <c r="D44" i="9" s="1"/>
  <c r="D45" i="9" s="1"/>
  <c r="D46" i="9" s="1"/>
  <c r="D47" i="9" s="1"/>
  <c r="D48" i="9" s="1"/>
  <c r="D49" i="9" s="1"/>
  <c r="D50" i="9" s="1"/>
  <c r="D51" i="9" s="1"/>
  <c r="D52" i="9" s="1"/>
  <c r="D53" i="9" s="1"/>
  <c r="D54" i="9" s="1"/>
  <c r="N5" i="9" s="1"/>
  <c r="N6" i="9" s="1"/>
  <c r="F35" i="9"/>
  <c r="F36" i="9" l="1"/>
  <c r="F94" i="18" s="1"/>
  <c r="E174" i="18"/>
  <c r="BZ34" i="2"/>
  <c r="C30" i="20"/>
  <c r="E30" i="20" s="1"/>
  <c r="D10" i="20"/>
  <c r="D18" i="20" s="1"/>
  <c r="D22" i="20" s="1"/>
  <c r="C18" i="20"/>
  <c r="D28" i="20" s="1"/>
  <c r="C29" i="20"/>
  <c r="E29" i="20" s="1"/>
  <c r="F80" i="18"/>
  <c r="C146" i="18"/>
  <c r="D1088" i="17"/>
  <c r="H1070" i="17"/>
  <c r="G1084" i="17"/>
  <c r="D1090" i="17" s="1"/>
  <c r="F37" i="9" l="1"/>
  <c r="F95" i="18" s="1"/>
  <c r="D20" i="20"/>
  <c r="C22" i="20"/>
  <c r="C20" i="20"/>
  <c r="D30" i="20" s="1"/>
  <c r="C147" i="18"/>
  <c r="D147" i="18" s="1"/>
  <c r="C152" i="18"/>
  <c r="F38" i="9" l="1"/>
  <c r="F96" i="18" s="1"/>
  <c r="D152" i="18"/>
  <c r="C153" i="18"/>
  <c r="F39" i="9" l="1"/>
  <c r="F97" i="18" s="1"/>
  <c r="F40" i="9" l="1"/>
  <c r="F98" i="18" s="1"/>
  <c r="F41" i="9" l="1"/>
  <c r="F99" i="18" s="1"/>
  <c r="F42" i="9" l="1"/>
  <c r="F100" i="18" s="1"/>
  <c r="F43" i="9" l="1"/>
  <c r="F101" i="18" s="1"/>
  <c r="F51" i="9" l="1"/>
  <c r="F109" i="18" s="1"/>
  <c r="F44" i="9"/>
  <c r="F102" i="18" s="1"/>
  <c r="F52" i="9" l="1"/>
  <c r="F110" i="18" s="1"/>
  <c r="F45" i="9"/>
  <c r="F103" i="18" s="1"/>
  <c r="F54" i="9"/>
  <c r="F46" i="9" l="1"/>
  <c r="F104" i="18" s="1"/>
  <c r="F47" i="9" l="1"/>
  <c r="F105" i="18" s="1"/>
  <c r="F48" i="9" l="1"/>
  <c r="F106" i="18" s="1"/>
  <c r="F49" i="9" l="1"/>
  <c r="F107" i="18" s="1"/>
  <c r="F50" i="9" l="1"/>
  <c r="F10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Gottal</author>
  </authors>
  <commentList>
    <comment ref="H29" authorId="0" shapeId="0" xr:uid="{E390FBF8-1BEC-4903-97AE-FC847BF12C67}">
      <text>
        <r>
          <rPr>
            <sz val="9"/>
            <color indexed="81"/>
            <rFont val="Tahoma"/>
            <family val="2"/>
          </rPr>
          <t xml:space="preserve">
Utiliser le button "Reapply" dans le menu "Data"</t>
        </r>
      </text>
    </comment>
  </commentList>
</comments>
</file>

<file path=xl/sharedStrings.xml><?xml version="1.0" encoding="utf-8"?>
<sst xmlns="http://schemas.openxmlformats.org/spreadsheetml/2006/main" count="3534" uniqueCount="763">
  <si>
    <t>Identification de la structure</t>
  </si>
  <si>
    <t>Nom du gestionnaire</t>
  </si>
  <si>
    <t>Nom du service</t>
  </si>
  <si>
    <t>Type de service</t>
  </si>
  <si>
    <t>Nom(s) de la (des) personnes de contact</t>
  </si>
  <si>
    <t>Personnes de contact</t>
  </si>
  <si>
    <t>Numéro(s) de téléphone</t>
  </si>
  <si>
    <t>Adresse(s) mail(s)</t>
  </si>
  <si>
    <t>Données GESTIONNAIRES</t>
  </si>
  <si>
    <t>Données ONE</t>
  </si>
  <si>
    <t>Libellé</t>
  </si>
  <si>
    <t>Code</t>
  </si>
  <si>
    <t>Nombre de forfaits déplacement
(en unités d'heure)
acquittés par l'ONE pour la période</t>
  </si>
  <si>
    <t>Nombre de forfaits 
(en unités d'heure totale)
acquittés par l'ONE pour la période</t>
  </si>
  <si>
    <t>Mesures d'aide et assistance</t>
  </si>
  <si>
    <t>Forfait horaire pour l'aide socio familiale en famille</t>
  </si>
  <si>
    <t>Forfait horaire pour l'assistance psychique, sociale ou éducative en famille</t>
  </si>
  <si>
    <t>8.1</t>
  </si>
  <si>
    <t>Forfait horaire pour l'assistance psychique, sociale ou éducative en famille (presté dans un contexte SLEMO)</t>
  </si>
  <si>
    <t>8.2</t>
  </si>
  <si>
    <t>Forfait horaire pour l'assistance psychique, sociale ou éducative en famille (presté dans un contexte d'accueil en famille)</t>
  </si>
  <si>
    <t>8.3</t>
  </si>
  <si>
    <t>Consultation psychologique ou psychothérapeutique</t>
  </si>
  <si>
    <t>9.1</t>
  </si>
  <si>
    <t>Intervention d'orthopédagogie précoce, de psychomotricité, de logopédie ou d'orthophonie</t>
  </si>
  <si>
    <t>Intervention précoce orthopédagogique</t>
  </si>
  <si>
    <t>11A1</t>
  </si>
  <si>
    <t>Soutien psychosocial par la psychomotricité</t>
  </si>
  <si>
    <t>11B</t>
  </si>
  <si>
    <t>Soutien psychosocial par l'orthophonie - séance pour consultation ou guidance</t>
  </si>
  <si>
    <t>11C1</t>
  </si>
  <si>
    <t>Soutien psychosocial par l'orthophonie - Bilan orthophonique</t>
  </si>
  <si>
    <t>11C2</t>
  </si>
  <si>
    <t>Soutien psychosocial par l'orthophonie - rééducation orthophonique pour troubles de l'articulation ou pour troubles de la déglutition atypique</t>
  </si>
  <si>
    <t>11C3</t>
  </si>
  <si>
    <t>Soutien psychosocial par l'orthophonie - rééducation orthophonique pour troubles du langage oral</t>
  </si>
  <si>
    <t>11C4</t>
  </si>
  <si>
    <t>Soutien psychosocial par l'orthophonie - rééducation orthophonique pour troubles du langage écrit et du raisonnement logico-mathématique</t>
  </si>
  <si>
    <t>11C5</t>
  </si>
  <si>
    <t>11C6</t>
  </si>
  <si>
    <t>Rapport écrit</t>
  </si>
  <si>
    <t>11C7</t>
  </si>
  <si>
    <t>Déplacement</t>
  </si>
  <si>
    <t>11CD</t>
  </si>
  <si>
    <t>Assistance des prestataires</t>
  </si>
  <si>
    <t>Forfait horaire pour l'assistance médicale des prestataires</t>
  </si>
  <si>
    <t>13.1</t>
  </si>
  <si>
    <t>Forfait horaire pour l'assistance médicale des prestataires par le médecin spécialiste</t>
  </si>
  <si>
    <t>13.2</t>
  </si>
  <si>
    <t>Forfait horaire pour l'assistance psychotérapeutique des prestataires</t>
  </si>
  <si>
    <t>14.11</t>
  </si>
  <si>
    <t>Forfait horaire pour l'assistance juridique des prestataires</t>
  </si>
  <si>
    <t>14.2</t>
  </si>
  <si>
    <t>Identifiants</t>
  </si>
  <si>
    <t>Affectations</t>
  </si>
  <si>
    <t>Carrières</t>
  </si>
  <si>
    <t>ETP</t>
  </si>
  <si>
    <t>Total</t>
  </si>
  <si>
    <t>Niveau de qualification</t>
  </si>
  <si>
    <t>Indemnités payées par  organismes tiers pour congés spéciaux (c.politiques, sportifs…)</t>
  </si>
  <si>
    <t>Autres remboursements
(p.ex. ADEM)</t>
  </si>
  <si>
    <t>Post-secondaire</t>
  </si>
  <si>
    <t>PS1</t>
  </si>
  <si>
    <t>Assistant (d'hygiène) social(e), inf. gradué, kiné, ergo, psychomot., orthoph...</t>
  </si>
  <si>
    <t>Secondaire</t>
  </si>
  <si>
    <t>ASF et aux. de vie</t>
  </si>
  <si>
    <t>PS5</t>
  </si>
  <si>
    <t>Aide soignant</t>
  </si>
  <si>
    <t>PE1</t>
  </si>
  <si>
    <t xml:space="preserve">Universitaire </t>
  </si>
  <si>
    <t>PE3f</t>
  </si>
  <si>
    <t>Educateur gradué en formation</t>
  </si>
  <si>
    <t>PE4</t>
  </si>
  <si>
    <t>Educateur instructeur (bac)</t>
  </si>
  <si>
    <t>PE5f</t>
  </si>
  <si>
    <t>Educateur diplômé en formation</t>
  </si>
  <si>
    <t>PE6</t>
  </si>
  <si>
    <t>Educateur instructeur</t>
  </si>
  <si>
    <t>Aidant social et éducatif niveau CATP</t>
  </si>
  <si>
    <t>Non qualifié</t>
  </si>
  <si>
    <t>PA1</t>
  </si>
  <si>
    <t>Universitaire</t>
  </si>
  <si>
    <t>PA3</t>
  </si>
  <si>
    <t>Bac</t>
  </si>
  <si>
    <t>PA4</t>
  </si>
  <si>
    <t>Employé 3ième sec. Ens. Moyen</t>
  </si>
  <si>
    <t>PA5</t>
  </si>
  <si>
    <t>Employé 5ième sec. 9ième moyen</t>
  </si>
  <si>
    <t>PA6</t>
  </si>
  <si>
    <t>inférieur à 5ième sec.</t>
  </si>
  <si>
    <t>PA7</t>
  </si>
  <si>
    <t>Employé non diplômé</t>
  </si>
  <si>
    <t>PAM3</t>
  </si>
  <si>
    <t>Personnel non diplômé</t>
  </si>
  <si>
    <t>TOTAL</t>
  </si>
  <si>
    <t>Encadrement</t>
  </si>
  <si>
    <t>C1</t>
  </si>
  <si>
    <t>C4</t>
  </si>
  <si>
    <t>C5</t>
  </si>
  <si>
    <t>C6</t>
  </si>
  <si>
    <t>C7</t>
  </si>
  <si>
    <t>Payées directement par la CNS</t>
  </si>
  <si>
    <t>Remboursées à l'employeur par le biais de la mutualité</t>
  </si>
  <si>
    <t>* Préciser le(s) type(s) de congé(s) ci-dessous</t>
  </si>
  <si>
    <t>Relevé des heures de formations, maladie et accouchements</t>
  </si>
  <si>
    <t>Amortissements des frais liés aux constructions, installations techniques ou à la mise en conformité</t>
  </si>
  <si>
    <t>Dotations aux amortissements</t>
  </si>
  <si>
    <t>Amortissements
des subsides</t>
  </si>
  <si>
    <t>Solde de l'année</t>
  </si>
  <si>
    <t>Solde cumulé</t>
  </si>
  <si>
    <t>Constructions</t>
  </si>
  <si>
    <t>Installation techniques</t>
  </si>
  <si>
    <t>Mise en conformité</t>
  </si>
  <si>
    <t>Autres amortissements</t>
  </si>
  <si>
    <t>Machines</t>
  </si>
  <si>
    <t>Equipement de transport et de manutention</t>
  </si>
  <si>
    <t>Véhicules de transport</t>
  </si>
  <si>
    <t>Outillage</t>
  </si>
  <si>
    <t>Mobilier</t>
  </si>
  <si>
    <t>Matériel informatique (hardware)</t>
  </si>
  <si>
    <t>Cheptel (et autres actifs cultivés)</t>
  </si>
  <si>
    <t>Agencements et aménagements de terrain</t>
  </si>
  <si>
    <t>Autres installations</t>
  </si>
  <si>
    <t>Concessions, brevets, licences (logiciels et progiciels informatiques), marques ainsi que droits et valeurs similaires</t>
  </si>
  <si>
    <t>Intitulés</t>
  </si>
  <si>
    <t>Solde</t>
  </si>
  <si>
    <t>EUR</t>
  </si>
  <si>
    <t>Ancienneté</t>
  </si>
  <si>
    <t>Sans diplôme</t>
  </si>
  <si>
    <t>5ème secondaire</t>
  </si>
  <si>
    <t>CATP ou DAP</t>
  </si>
  <si>
    <t>BTS</t>
  </si>
  <si>
    <t>Bachelor</t>
  </si>
  <si>
    <t>Master</t>
  </si>
  <si>
    <t>Paramètres</t>
  </si>
  <si>
    <t>Valeur du point (N.I. 100)</t>
  </si>
  <si>
    <t>Les référentiels temps de travail</t>
  </si>
  <si>
    <t>CCT SAS</t>
  </si>
  <si>
    <t>Jours</t>
  </si>
  <si>
    <t xml:space="preserve">Heures </t>
  </si>
  <si>
    <t>Point de départ</t>
  </si>
  <si>
    <t>dimanches et  samedis</t>
  </si>
  <si>
    <t>Déduction jours fériés (Y compris conv. congé)</t>
  </si>
  <si>
    <t>Sous-total</t>
  </si>
  <si>
    <t>Déduction congé lié à l'âge</t>
  </si>
  <si>
    <t>Déduction congé social</t>
  </si>
  <si>
    <t>Déduction congé extraordinaire</t>
  </si>
  <si>
    <t>Déduction congé reporté</t>
  </si>
  <si>
    <t>Déduction congé d'allaitement</t>
  </si>
  <si>
    <t>Déduction congé maladie</t>
  </si>
  <si>
    <t>Déduction jour de congé supplémentaire 
(loi PAN flexibilité du travail)</t>
  </si>
  <si>
    <t>Déduction repos travail de nuit</t>
  </si>
  <si>
    <t>Déduction repos weekend</t>
  </si>
  <si>
    <t>Déduction pour permanence</t>
  </si>
  <si>
    <t>Déduction pour permanence travaillée</t>
  </si>
  <si>
    <t>Déduction repos ininterrompu 44 hrs</t>
  </si>
  <si>
    <t>Déduction congés spéciaux</t>
  </si>
  <si>
    <t>Déduction formation continue</t>
  </si>
  <si>
    <t>Déduction réunions de service</t>
  </si>
  <si>
    <t>Impact heures de travail non facturables (réunion d'équipe, coordination interne, entretiens avec salariés, développement concepts et qualité, relations publiques, documentation etc.)</t>
  </si>
  <si>
    <r>
      <t xml:space="preserve">Heures de </t>
    </r>
    <r>
      <rPr>
        <b/>
        <sz val="11"/>
        <color rgb="FF000000"/>
        <rFont val="Calibri"/>
        <family val="2"/>
        <scheme val="minor"/>
      </rPr>
      <t xml:space="preserve">maladie longue durée </t>
    </r>
    <r>
      <rPr>
        <sz val="11"/>
        <color rgb="FF000000"/>
        <rFont val="Calibri"/>
        <family val="2"/>
        <scheme val="minor"/>
      </rPr>
      <t>pour l'année de recensement (dépassement du 77ème jour)</t>
    </r>
  </si>
  <si>
    <r>
      <t xml:space="preserve">Heures de </t>
    </r>
    <r>
      <rPr>
        <b/>
        <sz val="11"/>
        <color rgb="FF000000"/>
        <rFont val="Calibri"/>
        <family val="2"/>
        <scheme val="minor"/>
      </rPr>
      <t>congé de maternité et d'accueil</t>
    </r>
    <r>
      <rPr>
        <sz val="11"/>
        <color rgb="FF000000"/>
        <rFont val="Calibri"/>
        <family val="2"/>
        <scheme val="minor"/>
      </rPr>
      <t xml:space="preserve"> pour l'année de recensement</t>
    </r>
  </si>
  <si>
    <r>
      <t xml:space="preserve">Heures de </t>
    </r>
    <r>
      <rPr>
        <b/>
        <sz val="11"/>
        <color rgb="FF000000"/>
        <rFont val="Calibri"/>
        <family val="2"/>
        <scheme val="minor"/>
      </rPr>
      <t>dispense de travail</t>
    </r>
    <r>
      <rPr>
        <sz val="11"/>
        <color rgb="FF000000"/>
        <rFont val="Calibri"/>
        <family val="2"/>
        <scheme val="minor"/>
      </rPr>
      <t xml:space="preserve"> pour l'année de recensement</t>
    </r>
  </si>
  <si>
    <r>
      <rPr>
        <b/>
        <sz val="11"/>
        <color rgb="FF000000"/>
        <rFont val="Calibri"/>
        <family val="2"/>
        <scheme val="minor"/>
      </rPr>
      <t>Autres</t>
    </r>
    <r>
      <rPr>
        <sz val="11"/>
        <color rgb="FF000000"/>
        <rFont val="Calibri"/>
        <family val="2"/>
        <scheme val="minor"/>
      </rPr>
      <t xml:space="preserve"> types d'absences pour l'année de recensement donnant naissance à du congé*</t>
    </r>
  </si>
  <si>
    <r>
      <t xml:space="preserve">Heures de </t>
    </r>
    <r>
      <rPr>
        <b/>
        <sz val="11"/>
        <color rgb="FF000000"/>
        <rFont val="Calibri"/>
        <family val="2"/>
        <scheme val="minor"/>
      </rPr>
      <t>maladie de courte durée</t>
    </r>
    <r>
      <rPr>
        <sz val="11"/>
        <color rgb="FF000000"/>
        <rFont val="Calibri"/>
        <family val="2"/>
        <scheme val="minor"/>
      </rPr>
      <t xml:space="preserve"> pour l'année de recensement (inférieur au 77éme jour)</t>
    </r>
  </si>
  <si>
    <t>Sous-total carrières éducatives et de santé</t>
  </si>
  <si>
    <t>Sous-total carrières administratives</t>
  </si>
  <si>
    <t>Sous-total carrières techniques</t>
  </si>
  <si>
    <t>Sous-total nouvelles carrières</t>
  </si>
  <si>
    <t>Immobilisations corporelles</t>
  </si>
  <si>
    <t>Immobilisations incorporelles</t>
  </si>
  <si>
    <t>Frais de fonctionnement</t>
  </si>
  <si>
    <t>Amortissements</t>
  </si>
  <si>
    <t>Rétroactivité des tarifs</t>
  </si>
  <si>
    <t>Recettes ONE</t>
  </si>
  <si>
    <t>Prestations</t>
  </si>
  <si>
    <t>ETP après déduction des heures de maladie</t>
  </si>
  <si>
    <t>Salaire brut estimé sur une année hors primes et suppléments</t>
  </si>
  <si>
    <t>Psycho</t>
  </si>
  <si>
    <t>AUSC</t>
  </si>
  <si>
    <t>0-3 ans</t>
  </si>
  <si>
    <t>Type d'accueil</t>
  </si>
  <si>
    <t>Accueil socio-éducatif</t>
  </si>
  <si>
    <t>Accueil orthopédagogique</t>
  </si>
  <si>
    <t>Accueil psychothérapeutique</t>
  </si>
  <si>
    <t>Accueil urgent en situation de crise psychosociale aiguë</t>
  </si>
  <si>
    <t>Accueil 0 - 3 ans</t>
  </si>
  <si>
    <t>Accueil de jour ortho</t>
  </si>
  <si>
    <t>Accueil de jour psycho</t>
  </si>
  <si>
    <t>Nombre de places agréées par jour (proposées ; ≠ libres)</t>
  </si>
  <si>
    <t>Nombre de places agréées annuelles</t>
  </si>
  <si>
    <t>Nombre de journées acquittées par l'ONE (Données ONE)</t>
  </si>
  <si>
    <t>Nombre de journées acquittées par l'ONE (Données PRESTATAIRE)</t>
  </si>
  <si>
    <t>Nombre moyen d'enfants</t>
  </si>
  <si>
    <t>Taux d'occupation</t>
  </si>
  <si>
    <t>Personnel reclassé</t>
  </si>
  <si>
    <t>Efficience</t>
  </si>
  <si>
    <t>Prestation</t>
  </si>
  <si>
    <t>Coefficients de pondération</t>
  </si>
  <si>
    <t>Congés reportés</t>
  </si>
  <si>
    <t>Heures CNS</t>
  </si>
  <si>
    <t>RTT</t>
  </si>
  <si>
    <t>Proportion des ETP absents</t>
  </si>
  <si>
    <t>Proportion des ETP présents</t>
  </si>
  <si>
    <t>Congés annuels</t>
  </si>
  <si>
    <t>Congés annuels en cas de report</t>
  </si>
  <si>
    <t>Impact congés reportés</t>
  </si>
  <si>
    <t>Heures d'allaitement</t>
  </si>
  <si>
    <t>Femmes allaitantes</t>
  </si>
  <si>
    <t>Femmes allaitantes sans CP</t>
  </si>
  <si>
    <t>Femmes allaitantes avec CP</t>
  </si>
  <si>
    <t>A temps plein</t>
  </si>
  <si>
    <t>A mi-temps</t>
  </si>
  <si>
    <t>Personnes qui allaitent encore après 4 mois</t>
  </si>
  <si>
    <t>Jours dans 4 mois</t>
  </si>
  <si>
    <t>Personnes qui allaitent encore après 6 mois</t>
  </si>
  <si>
    <t>jours entre 4 et 6 mois</t>
  </si>
  <si>
    <t>Personnes qui allaitent encore après 12 mois</t>
  </si>
  <si>
    <t>Jours entre 6 et 12 mois</t>
  </si>
  <si>
    <t>Pourcentage de femmes qui allaitent après avoir accouché</t>
  </si>
  <si>
    <t>Pourcentage de femmes qui allaitent et prennent le CP</t>
  </si>
  <si>
    <t>Heures de pauses par ETP par jour pour allaitement</t>
  </si>
  <si>
    <t>Nombre d'heures de pause allaitement sans CP</t>
  </si>
  <si>
    <t>Nombre d'heures de pause allaitement avec CP temps plein</t>
  </si>
  <si>
    <t>Total heures d'allaitement</t>
  </si>
  <si>
    <t>Heures par ETP</t>
  </si>
  <si>
    <t>RTT secteur AEF</t>
  </si>
  <si>
    <t>RTT gestionnaire</t>
  </si>
  <si>
    <t>En ETP</t>
  </si>
  <si>
    <t>En % par type d'ETP</t>
  </si>
  <si>
    <t>Qualifications par profil</t>
  </si>
  <si>
    <t>Total en €</t>
  </si>
  <si>
    <t>En € par unité de prestation</t>
  </si>
  <si>
    <t>base</t>
  </si>
  <si>
    <t>ortho</t>
  </si>
  <si>
    <t>Nombre de forfaits sur l'année</t>
  </si>
  <si>
    <t>Nombre moyen de forfaits par jour</t>
  </si>
  <si>
    <t>Normes agrément</t>
  </si>
  <si>
    <t>Besoin en ETP</t>
  </si>
  <si>
    <t>Total après diminution de 10% pendant 80 jours</t>
  </si>
  <si>
    <t xml:space="preserve">   Bachelor et plus (minimum)</t>
  </si>
  <si>
    <t xml:space="preserve">   Baccalauréat</t>
  </si>
  <si>
    <t xml:space="preserve">   Auxiliaire de vie et ASF (maximum)</t>
  </si>
  <si>
    <t xml:space="preserve">   Autres qualifications (maximum)</t>
  </si>
  <si>
    <t>Nombre de jour sur l'année</t>
  </si>
  <si>
    <t>Qualifications</t>
  </si>
  <si>
    <t>Baccalauréat</t>
  </si>
  <si>
    <t>Auxiliaire de vie et ASF</t>
  </si>
  <si>
    <t>Autres qualifications</t>
  </si>
  <si>
    <t>Conclusion</t>
  </si>
  <si>
    <t>Heures de maladie de courte durée (à ne compléter que pour le personnel d'encadrement)</t>
  </si>
  <si>
    <t>Solde de l'année
(par unité de prestation)</t>
  </si>
  <si>
    <t>PE7 ASF</t>
  </si>
  <si>
    <t>PE7 non qualifié</t>
  </si>
  <si>
    <t>PE7 Non qualifié</t>
  </si>
  <si>
    <t>Heures totales</t>
  </si>
  <si>
    <t>Tarifs</t>
  </si>
  <si>
    <t>Vérification des carrières dans l'horaire</t>
  </si>
  <si>
    <t>Normes prévues à l'annexe B de la convention cadre horaire</t>
  </si>
  <si>
    <t>80% des collaborateurs qualifiés avec maximum 20% ASF et aux. de vie</t>
  </si>
  <si>
    <t>100% PE1 ou C7</t>
  </si>
  <si>
    <t>100% PS1 ou C6</t>
  </si>
  <si>
    <t>Normes agrément (en ETP)</t>
  </si>
  <si>
    <t>Considérés comme équivalents entre tous les gestionnaires car non évaluables au vu des paramètres demandés</t>
  </si>
  <si>
    <t>Nombre total</t>
  </si>
  <si>
    <t>Nombre par ETP</t>
  </si>
  <si>
    <t>Auto, transport (dont leasing transport)</t>
  </si>
  <si>
    <t>Administration (dont autres honoraires, honoraires comptable et d'audit, formations, leasing informatique, matériel de bureau, machines)</t>
  </si>
  <si>
    <t>Frais dédiés à l'enfant (dont argent de poche, habillement, lingerie, literie, alimentation, loisirs, frais d'école, médecin et pharmacie et autres aides destinées à l'enfant)</t>
  </si>
  <si>
    <t>Frais liés à l'infrastructure, la structure (dont assurances, taxes, entretien, buanderie, eau, électricité, gaz, combustibles, réparation et acquisitions inférieure à 870€, contrat de maintenance, loyers)</t>
  </si>
  <si>
    <t>Frais liés aux tâches dédiées à la protection des données</t>
  </si>
  <si>
    <t>Frais directement liés à l'activité</t>
  </si>
  <si>
    <t>Frais indirectement liés à l'activité</t>
  </si>
  <si>
    <t>Logistique</t>
  </si>
  <si>
    <t>Autres fonctions</t>
  </si>
  <si>
    <t>Administration/ logistique</t>
  </si>
  <si>
    <t>Recettes autres</t>
  </si>
  <si>
    <t>C2 non qualifié</t>
  </si>
  <si>
    <t>C2 qualifié</t>
  </si>
  <si>
    <t>C3 non qualifié</t>
  </si>
  <si>
    <t>C3 qualifié</t>
  </si>
  <si>
    <t>Administration/logistique indirectement liée à l'activité</t>
  </si>
  <si>
    <t>Logistique directement liée à l'activité</t>
  </si>
  <si>
    <t>Chargé de direction/ direction générale</t>
  </si>
  <si>
    <t xml:space="preserve">Remboursement mutualité
</t>
  </si>
  <si>
    <t>Logistique directement liés à l'activité</t>
  </si>
  <si>
    <t>Administration/ logistique indirectement liés à l'activité</t>
  </si>
  <si>
    <t>Anciennetés en nombre d'années (au 31/12 ou pour le personnel ayant quitté la structure à la date de sortie)</t>
  </si>
  <si>
    <t>Heures CNS exprimées en ETP</t>
  </si>
  <si>
    <t>Sous-traitance entretien, réparation</t>
  </si>
  <si>
    <t>Coût par prestation</t>
  </si>
  <si>
    <t>Taux de cotisations patronales</t>
  </si>
  <si>
    <t>Rémun. non périod.</t>
  </si>
  <si>
    <t>Chargé de direction / direction générale</t>
  </si>
  <si>
    <t>Base+</t>
  </si>
  <si>
    <t>Ortho+</t>
  </si>
  <si>
    <t>Part patronale</t>
  </si>
  <si>
    <t>Nombre d'heures de pause allaitement avec CP mi-temps</t>
  </si>
  <si>
    <t>Recettes tarifs + factures complémentaires</t>
  </si>
  <si>
    <t>Salaire pour l'année de recensement (Charge brute totale+part patronale, y compris 13ème mois et prime unique)</t>
  </si>
  <si>
    <r>
      <t>Post-secondaire</t>
    </r>
    <r>
      <rPr>
        <sz val="11"/>
        <color theme="0"/>
        <rFont val="Calibri"/>
        <family val="2"/>
        <scheme val="minor"/>
      </rPr>
      <t xml:space="preserve"> </t>
    </r>
    <r>
      <rPr>
        <sz val="10"/>
        <color theme="0"/>
        <rFont val="Calibri"/>
        <family val="2"/>
        <scheme val="minor"/>
      </rPr>
      <t>(santé, éduc. Social, psycho, pédagogie)</t>
    </r>
  </si>
  <si>
    <t>Déduction congé légal et jours fériés d'usage</t>
  </si>
  <si>
    <t>Contrôle (95 - 105%) salaire réel/théorique hors prime et supplément</t>
  </si>
  <si>
    <t>Justification le cas échéant (si écart entre salaire réel et salaire théorique)</t>
  </si>
  <si>
    <t>Salaire pour l'année de recensement (primes, suppléments et part patronale y liés)</t>
  </si>
  <si>
    <t>Remplir un fichier par type de forfaits</t>
  </si>
  <si>
    <t>Soutien psychosocial par l'orthophonie - rééduc. orthoph. en cas de troubles vélo-tubo-tympaniques, dysphonie dysfonctionnelle ou pour dysfonction pathol. grave vélo-pharyngienne</t>
  </si>
  <si>
    <t>Consult. psychol., psycho-affective, psychothérapeutique ou psychotraumatologique</t>
  </si>
  <si>
    <t>Personnel encadrement - maladies</t>
  </si>
  <si>
    <t>Personnel d'encadrement - formations et supervisions</t>
  </si>
  <si>
    <t>Personnel d'encadrement - accouchement</t>
  </si>
  <si>
    <t>Nombre total exprimé en ETP</t>
  </si>
  <si>
    <t>Nombre total d'heures</t>
  </si>
  <si>
    <t>Ancienneté moyenne</t>
  </si>
  <si>
    <t>Maximum cotisable</t>
  </si>
  <si>
    <t>Indice</t>
  </si>
  <si>
    <t>Salaire social minimum (N.I. 100)</t>
  </si>
  <si>
    <t>Majoration de deux points effectuée</t>
  </si>
  <si>
    <t>Salaire pour l'année de recensement (Charge brute totale + part patronale, y compris 13ème mois et prime unique)</t>
  </si>
  <si>
    <t>C5 étoile</t>
  </si>
  <si>
    <t>Travailleurs désignés et délégation du personnel</t>
  </si>
  <si>
    <t>ETP dédié à la fonction</t>
  </si>
  <si>
    <t>Travailleurs dédiés à la protection des données</t>
  </si>
  <si>
    <t>Indemnités payées par des organismes tiers pour congés spéciaux (c.politiques, sportifs…)</t>
  </si>
  <si>
    <t>Synthèse - Relevé délégation du personnel et travailleurs désignés</t>
  </si>
  <si>
    <t>Nombre d'ETP</t>
  </si>
  <si>
    <t>Coûts salariaux avant remboursements</t>
  </si>
  <si>
    <t>Coûts salariaux</t>
  </si>
  <si>
    <t>Synthèse - Relevé personnel dédié à la protection des données</t>
  </si>
  <si>
    <t>Synthèse - Relevé du personnel d'encadrement (personnel reclassé compris)</t>
  </si>
  <si>
    <t>Synthèse - Relevé du personnel logistique directement lié à l'activité (personnel reclassé compris)</t>
  </si>
  <si>
    <t>Synthèse - Relevé du personnel administratif et logistique indirectement lié à l'activité (personnel reclassé compris)</t>
  </si>
  <si>
    <t>Synthèse - Relevé du personnel de direction (personnel reclassé compris)</t>
  </si>
  <si>
    <t>Synthèse - Personnel reclassé</t>
  </si>
  <si>
    <t>Salaires par unité de prestation</t>
  </si>
  <si>
    <t>Salaire par profil d'ETP, par niveau de qualification et par unité de prestations (hors travailleurs désignés, délégation du personnel et protection des données)</t>
  </si>
  <si>
    <t>Fiche d'aide au calcul de l'ETP</t>
  </si>
  <si>
    <t>exemple 1</t>
  </si>
  <si>
    <t>exemple 2</t>
  </si>
  <si>
    <t>début</t>
  </si>
  <si>
    <t>fin période</t>
  </si>
  <si>
    <t>tâche</t>
  </si>
  <si>
    <t>Fiches d'aide au calcul des ETP</t>
  </si>
  <si>
    <t>54 fiches disponibles</t>
  </si>
  <si>
    <t>profession :</t>
  </si>
  <si>
    <t>Nombre de salariés :</t>
  </si>
  <si>
    <t>Nom :</t>
  </si>
  <si>
    <t>Sans dépenses et recettes d'investissement</t>
  </si>
  <si>
    <t>Avec dépenses et recettes d'investissement</t>
  </si>
  <si>
    <t>Nombre de forfaits
(en unités d'heure hors déplacement)
acquittés par l'ONE pour la période</t>
  </si>
  <si>
    <t>Dépenses liées à une demande adressée au fonds d'investissement</t>
  </si>
  <si>
    <t>Recettes issues des conventions pour frais spécifiques et autres recettes plubliques (hors Fonds d'investissement)</t>
  </si>
  <si>
    <t>Nombre de mois</t>
  </si>
  <si>
    <t>Dépenses prestataire</t>
  </si>
  <si>
    <t>Données prestataire</t>
  </si>
  <si>
    <t>Différentiel prestataire/ONE</t>
  </si>
  <si>
    <t>Frais de personnel</t>
  </si>
  <si>
    <t>Frais de fonctionnement sans recettes/dépenses fonds d'investissement</t>
  </si>
  <si>
    <t>Solde amortissement cumulé</t>
  </si>
  <si>
    <t xml:space="preserve">     Dont personnel d'encadrement</t>
  </si>
  <si>
    <t xml:space="preserve">     Dont personnel logistique directement lié à l'activité</t>
  </si>
  <si>
    <t xml:space="preserve">     Dont personnel administratif/logistique indirectement lié à l'activité</t>
  </si>
  <si>
    <t xml:space="preserve">     Dont chargé de direction/ direction générale</t>
  </si>
  <si>
    <t xml:space="preserve">     Dont délégation du personnel et travailleurs désignés</t>
  </si>
  <si>
    <t xml:space="preserve">     Dont personnel dédié à la protection des données</t>
  </si>
  <si>
    <t>Solde dépenses/recettes fonds d'investissement</t>
  </si>
  <si>
    <t>Montant total</t>
  </si>
  <si>
    <t>Montant par unité de prestation</t>
  </si>
  <si>
    <t>Montants renseignés</t>
  </si>
  <si>
    <t>Montants renseignés par unité de prestation</t>
  </si>
  <si>
    <t>Bénéfice/perte</t>
  </si>
  <si>
    <t>Bénéfice/perte avec considération des amortissements mais pas du solde du fonds d'investissement</t>
  </si>
  <si>
    <t>Bénéfice/perte avec considération du solde du fonds d'investissements mais pas des amortissements</t>
  </si>
  <si>
    <t>Bénéfice/perte sans considération du solde du fonds d'investissements et amortissements</t>
  </si>
  <si>
    <t>Valeur du point</t>
  </si>
  <si>
    <t>Primes et suppléments pour l'année de recensement (et part patronale y liés)</t>
  </si>
  <si>
    <t>Prévues par la loi ou des conventions hors protection des données</t>
  </si>
  <si>
    <t>Sous-total considéré pour la fixation du tarif</t>
  </si>
  <si>
    <t>Sous-total considéré pour la fixation du tarif et solde du fonds d'investissement</t>
  </si>
  <si>
    <t>Sous-total considéré pour la fixation du tarif et solde de l'amortissement de l'année considérée</t>
  </si>
  <si>
    <t>Sous-traitance administration (dont sous-traitance consultance, analyse, conception et développement)</t>
  </si>
  <si>
    <t>Déduction congé de paternité</t>
  </si>
  <si>
    <t>Remboursement Fonds d'investissement</t>
  </si>
  <si>
    <t>Sous-total (sans dépenses, ni remboursement d'investissement)</t>
  </si>
  <si>
    <t>Montant prime</t>
  </si>
  <si>
    <t>Taux mutualités des employeurs</t>
  </si>
  <si>
    <t>Taux accident du travail</t>
  </si>
  <si>
    <t>Assurance maladie</t>
  </si>
  <si>
    <t>Assurance pension</t>
  </si>
  <si>
    <t>Majoration pour prestation en espèce</t>
  </si>
  <si>
    <t>Santé au travail</t>
  </si>
  <si>
    <t>Accident au travail</t>
  </si>
  <si>
    <t>Classe 1</t>
  </si>
  <si>
    <t>Classe 2</t>
  </si>
  <si>
    <t>Classe 3</t>
  </si>
  <si>
    <t>Classe 4</t>
  </si>
  <si>
    <t>Classe 5</t>
  </si>
  <si>
    <t>Mutualité</t>
  </si>
  <si>
    <t>+ ajout de la classe accident choisie</t>
  </si>
  <si>
    <t>Coût salaire annuel</t>
  </si>
  <si>
    <t>Coût salaire annuel avant remboursements</t>
  </si>
  <si>
    <t>C2</t>
  </si>
  <si>
    <t>C3</t>
  </si>
  <si>
    <t>ETP Encadrement (contrat)</t>
  </si>
  <si>
    <t>ETP Encadrement (maladie déduite)</t>
  </si>
  <si>
    <t>ETP Logistique direct (contrat)</t>
  </si>
  <si>
    <t>ETP Logistique indirect (contrat)</t>
  </si>
  <si>
    <t>ETP direction (contrat)</t>
  </si>
  <si>
    <t>Nombre d'ETP par qualification (hors travailleurs désignés, délégation du personnel et protection des données)</t>
  </si>
  <si>
    <t>Encadrement (contrat)</t>
  </si>
  <si>
    <t>Logistique directement liés à l'activité (contrat)</t>
  </si>
  <si>
    <t>Administration/ logistique indirectement liés à l'activité (contrat)</t>
  </si>
  <si>
    <t>Chargé de direction/ direction générale (contrat)</t>
  </si>
  <si>
    <t>Total (contrat)</t>
  </si>
  <si>
    <t>Encadrement (maladie déduite)
-
utile pour test plausibilité</t>
  </si>
  <si>
    <t>En € par ETP (contrat)</t>
  </si>
  <si>
    <t>Excédents / pertes</t>
  </si>
  <si>
    <t>% des recettes</t>
  </si>
  <si>
    <t>Indice moyen sur l'année</t>
  </si>
  <si>
    <t>Plafond excédent</t>
  </si>
  <si>
    <t>horaire</t>
  </si>
  <si>
    <t>Synthèse - Relevé du personnel d'encadrement (personnel reclassé compris) - 7</t>
  </si>
  <si>
    <t>Synthèse - Relevé du personnel d'encadrement (personnel reclassé compris) - 8.1</t>
  </si>
  <si>
    <t>Synthèse - Relevé du personnel d'encadrement (personnel reclassé compris) - 8.2</t>
  </si>
  <si>
    <t>Synthèse - Relevé du personnel d'encadrement (personnel reclassé compris) - 8.3</t>
  </si>
  <si>
    <t>Synthèse - Relevé du personnel d'encadrement (personnel reclassé compris) - 9.1</t>
  </si>
  <si>
    <t>Synthèse - Relevé du personnel d'encadrement (personnel reclassé compris) - 11</t>
  </si>
  <si>
    <t>Synthèse - Relevé du personnel d'encadrement (personnel reclassé compris) - base-ortho</t>
  </si>
  <si>
    <t>Synthèse - Relevé du personnel d'encadrement (personnel reclassé compris) - psycho</t>
  </si>
  <si>
    <t>Synthèse - Relevé du personnel d'encadrement (personnel reclassé compris) - AUSC</t>
  </si>
  <si>
    <t>Synthèse - Relevé du personnel d'encadrement (personnel reclassé compris) - 0-3 ans</t>
  </si>
  <si>
    <t>base- ortho</t>
  </si>
  <si>
    <t>Nombre d'ETP qualifiés selon l'annexe B de la CC horaire</t>
  </si>
  <si>
    <t>Nombre d'ETP total</t>
  </si>
  <si>
    <t>Besoin en ETP corrigé au départ de l'efficience</t>
  </si>
  <si>
    <t>% ETP qualifié au départ du besoin en ETP corrigé</t>
  </si>
  <si>
    <t>Diviseur recalculé à partir de l'efficience (pour tarif)</t>
  </si>
  <si>
    <t>équiv. tarif de référence</t>
  </si>
  <si>
    <r>
      <rPr>
        <b/>
        <sz val="11"/>
        <color theme="1"/>
        <rFont val="Calibri"/>
        <family val="2"/>
        <scheme val="minor"/>
      </rPr>
      <t>60% Bachelor et plus</t>
    </r>
    <r>
      <rPr>
        <sz val="11"/>
        <color theme="1"/>
        <rFont val="Calibri"/>
        <family val="2"/>
        <scheme val="minor"/>
      </rPr>
      <t xml:space="preserve"> (psycho, éduc., pédag., santé, sc. Sociales)</t>
    </r>
  </si>
  <si>
    <r>
      <rPr>
        <b/>
        <sz val="11"/>
        <color theme="1"/>
        <rFont val="Calibri"/>
        <family val="2"/>
        <scheme val="minor"/>
      </rPr>
      <t xml:space="preserve">60% Bachelor et plus </t>
    </r>
    <r>
      <rPr>
        <sz val="11"/>
        <color theme="1"/>
        <rFont val="Calibri"/>
        <family val="2"/>
        <scheme val="minor"/>
      </rPr>
      <t>(psycho, éduc., pédag., santé, sc. Sociales)</t>
    </r>
  </si>
  <si>
    <r>
      <rPr>
        <b/>
        <sz val="11"/>
        <color theme="1"/>
        <rFont val="Calibri"/>
        <family val="2"/>
        <scheme val="minor"/>
      </rPr>
      <t>70% Bachelor et plus</t>
    </r>
    <r>
      <rPr>
        <sz val="11"/>
        <color theme="1"/>
        <rFont val="Calibri"/>
        <family val="2"/>
        <scheme val="minor"/>
      </rPr>
      <t xml:space="preserve"> (psycho, éduc., pédag., santé, sc. Sociales)</t>
    </r>
  </si>
  <si>
    <t>Total (équiv. base)</t>
  </si>
  <si>
    <t>Recettes liées à l'encadrement</t>
  </si>
  <si>
    <t>Recettes liées à l'administration, la logistique, la direction ou en lien avec une loi ou un convention</t>
  </si>
  <si>
    <t>Petit groupe</t>
  </si>
  <si>
    <t>Déduction 2 jours de congé extraordinaire (répartis sur 2 ans)</t>
  </si>
  <si>
    <t>Déduction réduction de la flexibilité</t>
  </si>
  <si>
    <t>Déduction dépassement de la durée de travail semi-nette annuelle</t>
  </si>
  <si>
    <t>Déduction abolition de la limitation de la majoration aux seules 4 premières heures de travail</t>
  </si>
  <si>
    <t>Places agréées</t>
  </si>
  <si>
    <t>Accueil jour et nuit</t>
  </si>
  <si>
    <t>Accueil de jour</t>
  </si>
  <si>
    <t>Composition des groupes - places agréées</t>
  </si>
  <si>
    <t>Dénomination du groupe</t>
  </si>
  <si>
    <t>Jour d'ouverture</t>
  </si>
  <si>
    <t>1ère possibilité - renseignement par groupe de vie</t>
  </si>
  <si>
    <t>Petit Groupe</t>
  </si>
  <si>
    <t>Synthèse - Relevé du personnel d'encadrement (personnel reclassé compris) - petit groupe</t>
  </si>
  <si>
    <t>Partie ambulatoire</t>
  </si>
  <si>
    <t>1ère possibilité - renseignement par antenne</t>
  </si>
  <si>
    <t>Composition des groupes - encadrement en ETP</t>
  </si>
  <si>
    <t>Dénomination de l'antenne</t>
  </si>
  <si>
    <t>journalier</t>
  </si>
  <si>
    <t>TOTAL ETP</t>
  </si>
  <si>
    <t>Type d'activité</t>
  </si>
  <si>
    <t>Adresse du groupe 1</t>
  </si>
  <si>
    <t>Adresse du groupe 2</t>
  </si>
  <si>
    <t>Adresse du groupe 3</t>
  </si>
  <si>
    <t>Adresse du groupe 4</t>
  </si>
  <si>
    <t>Adresse du groupe 5</t>
  </si>
  <si>
    <t>Adresse du groupe 6</t>
  </si>
  <si>
    <t>Adresse du groupe 7</t>
  </si>
  <si>
    <t>Adresse du groupe 8</t>
  </si>
  <si>
    <t>Adresse du groupe 9</t>
  </si>
  <si>
    <t>Adresse du groupe 10</t>
  </si>
  <si>
    <t>Adresse du groupe 11</t>
  </si>
  <si>
    <t>Adresse du groupe 12</t>
  </si>
  <si>
    <t>Adresse du groupe 13</t>
  </si>
  <si>
    <t>Adresse du groupe 14</t>
  </si>
  <si>
    <t>Adresse du groupe 15</t>
  </si>
  <si>
    <t>Diviseur pondéré</t>
  </si>
  <si>
    <t xml:space="preserve">Total </t>
  </si>
  <si>
    <t>Coefficience applicable</t>
  </si>
  <si>
    <t>Composition de l'encadrement en ETP au 31/12</t>
  </si>
  <si>
    <t xml:space="preserve">Test de plausibilité (journalier uniquement) </t>
  </si>
  <si>
    <t>de l'Enfance et de la Jeunesse</t>
  </si>
  <si>
    <t>Pour l'organisme de gestion,</t>
  </si>
  <si>
    <t>Pour le Ministre de l'Education nationale,</t>
  </si>
  <si>
    <r>
      <t xml:space="preserve">Selon l’article 16 alinéa 6 du règlement grand-ducal modifié du 17 août 2011 le critère de compter au moins un psychothérapeute parmis l'effectif en cas d'accueil psychothérapeutique de jour et/ou de nuit est respecté :   </t>
    </r>
    <r>
      <rPr>
        <b/>
        <sz val="12"/>
        <color rgb="FF00B050"/>
        <rFont val="Calibri"/>
        <family val="2"/>
        <scheme val="minor"/>
      </rPr>
      <t xml:space="preserve"> </t>
    </r>
  </si>
  <si>
    <r>
      <t xml:space="preserve">Selon l’article 16 du règlement grand-ducal modifié du 17 août 2011 les critères de la qualification professionnelle des agents d’encadrement sont respectés :   </t>
    </r>
    <r>
      <rPr>
        <b/>
        <sz val="12"/>
        <color rgb="FF00B050"/>
        <rFont val="Calibri"/>
        <family val="2"/>
        <scheme val="minor"/>
      </rPr>
      <t xml:space="preserve"> </t>
    </r>
  </si>
  <si>
    <t xml:space="preserve">Selon l’article 14.b du règlement grand-ducal modifié du 17 août 2011 concernant toutes les formules de l’accueil socio-éducatif en institution de jour et de nuit (non-applicable pour l'accueil base/ortho), le nombre minimal d’agents d’encadrement peut être diminué de 10% pour une période ne pouvant dépasser 20 jours consécutifs. Sur l’année entière cette diminution de la norme minimale d’encadrement ne peut être appliquée pour plus de 80 journées. Article 14.b est respecté :  </t>
  </si>
  <si>
    <t xml:space="preserve">Selon l’article 14.a du règlement grand-ducal modifié du 17 août 2011 la norme minimale d’agents d’encadrement est respectée :   </t>
  </si>
  <si>
    <t>En cas de non réussite du test de plausibilité, le MENJE reviendra vers le gestionnaire afin de l'informer du montant à rembourser.</t>
  </si>
  <si>
    <t>Nombre d'agents à diminuer X 0,22</t>
  </si>
  <si>
    <t>X 10% =</t>
  </si>
  <si>
    <t>Nombre minimale d'agents d'encadrement =</t>
  </si>
  <si>
    <t xml:space="preserve">80/365 = </t>
  </si>
  <si>
    <t>Selon l’art.14 point b alinéa 3 du règlement grand-ducal du 17 août 2011 le nombre minimal d’agents d’encadrement peut être diminué de 10 % pour une période maximale de 80 journées sur l’année entière.</t>
  </si>
  <si>
    <t xml:space="preserve">Nombre de psychothérapeutes = </t>
  </si>
  <si>
    <t>Selon l'article 16 alinéa 6,  l'effectif doit compter au moins un psychothérapeute en cas d 'accueil psychothérapeutoque de jour et/ou de nuit.</t>
  </si>
  <si>
    <t>Nombre total personnel art.14 a</t>
  </si>
  <si>
    <t>Personnel non-qualifié</t>
  </si>
  <si>
    <t xml:space="preserve">Personnel qualifié art.15 alinéa 2 </t>
  </si>
  <si>
    <t>Personnel qualifié art.15 alinéa 1 (postsec. exclus)</t>
  </si>
  <si>
    <t xml:space="preserve">personnel postsecondaire art.16 </t>
  </si>
  <si>
    <t>Ausc</t>
  </si>
  <si>
    <t>0-3</t>
  </si>
  <si>
    <t>Psychothérapeutique Jour</t>
  </si>
  <si>
    <t>Psychothérapeutique</t>
  </si>
  <si>
    <t>Orthopédagogique Jour</t>
  </si>
  <si>
    <t>Orthopédagogique J/N</t>
  </si>
  <si>
    <t>Base J/N</t>
  </si>
  <si>
    <t>Personnel qualifié art.15 alinéa 1 (postsec. exlcus)</t>
  </si>
  <si>
    <t>Effectifs du personnel d'encadrement selon le règlement grand-ducal du 17 août 2011:</t>
  </si>
  <si>
    <r>
      <rPr>
        <b/>
        <sz val="12"/>
        <color theme="1"/>
        <rFont val="Calibri"/>
        <family val="2"/>
        <scheme val="minor"/>
      </rPr>
      <t>= ETP</t>
    </r>
    <r>
      <rPr>
        <sz val="11"/>
        <color theme="1"/>
        <rFont val="Calibri"/>
        <family val="2"/>
        <scheme val="minor"/>
      </rPr>
      <t xml:space="preserve"> (article 15 alinéa 1)</t>
    </r>
  </si>
  <si>
    <r>
      <rPr>
        <b/>
        <sz val="11"/>
        <color theme="1"/>
        <rFont val="Calibri"/>
        <family val="2"/>
        <scheme val="minor"/>
      </rPr>
      <t>moins</t>
    </r>
    <r>
      <rPr>
        <sz val="11"/>
        <color theme="1"/>
        <rFont val="Calibri"/>
        <family val="2"/>
        <scheme val="minor"/>
      </rPr>
      <t xml:space="preserve"> (-) quali. profes. de type postsecondaire</t>
    </r>
  </si>
  <si>
    <r>
      <rPr>
        <b/>
        <sz val="11"/>
        <color theme="1"/>
        <rFont val="Calibri"/>
        <family val="2"/>
        <scheme val="minor"/>
      </rPr>
      <t>moins</t>
    </r>
    <r>
      <rPr>
        <sz val="11"/>
        <color theme="1"/>
        <rFont val="Calibri"/>
        <family val="2"/>
        <scheme val="minor"/>
      </rPr>
      <t xml:space="preserve"> (-) Art. 15 al. 2</t>
    </r>
  </si>
  <si>
    <t>Nombre min. d'agents d'encadrement qualifiés</t>
  </si>
  <si>
    <t>ETP qualifications professionnelles de type postsecondaire.</t>
  </si>
  <si>
    <t>(80 % ETP qualifié)</t>
  </si>
  <si>
    <t>40 % de</t>
  </si>
  <si>
    <t xml:space="preserve"> ETP détenteur de certificats énoncés à l'alinéa 2 de l'article 15.</t>
  </si>
  <si>
    <t xml:space="preserve">Maximum 20 % de </t>
  </si>
  <si>
    <t>ETP qualifié selon l'article 15.</t>
  </si>
  <si>
    <t>(nbre d'agents en accueil urgent en situation de crise psychosociale aiguïe) - 20 %  (ETP non-qualifié) =</t>
  </si>
  <si>
    <t>80 % au moins du total des heures d'encadrement doit être assuré par des personnes répondant de qualification professionnelle à l'article 15:</t>
  </si>
  <si>
    <t>Personnel qualifié :</t>
  </si>
  <si>
    <t>heures/semaine</t>
  </si>
  <si>
    <t>Correspondant à ( Valeur X 40h)</t>
  </si>
  <si>
    <t>ETP non-qualifié</t>
  </si>
  <si>
    <t>20 % de (postes à plein temps)</t>
  </si>
  <si>
    <t>Personnel non-qualifié:</t>
  </si>
  <si>
    <t>2. Personnel qualifié et non-qualifié au sens de l'article 16:</t>
  </si>
  <si>
    <t>postes à plein temps</t>
  </si>
  <si>
    <t>Pour l’accueil  urgent en situation de crise psychosociale aiguïe, le total du nombre minimal d’agents d’encadrement requis selon (l’art. 14. a) est de :</t>
  </si>
  <si>
    <t>Pour l'accueil urgent en situation de crise psychosociale aiguïe, le total du nombre minimal d'agents d'encadrement en régime nuit veillante est :</t>
  </si>
  <si>
    <t>Pour l'accueil urgent en situation de crise psychosociale aiguïe, le total du nombre minimal d'agents d'encadrement en régime nuit dormante est :</t>
  </si>
  <si>
    <t>0,22 X (nombre d'usagers) =</t>
  </si>
  <si>
    <t>En régime nuit veillante : 0,22 poste à temps plein par usager</t>
  </si>
  <si>
    <t>0,11 X (nombre d'usagers) =</t>
  </si>
  <si>
    <t>En régime nuit dormante : 0,11 poste à temps plein par usager</t>
  </si>
  <si>
    <t>- entre 22:00 et 6:00 heures:</t>
  </si>
  <si>
    <t>0,90 X (nombre d'usager) =</t>
  </si>
  <si>
    <t xml:space="preserve">- entre 6:00 et 22:00 heures : 0,90 poste à temps plein par usager </t>
  </si>
  <si>
    <t>1. Pour l'accueil urgent en situation de crise psychosociale aiguïe, le nombre minimal d'agents d'encadrement est déterminé comme suit:</t>
  </si>
  <si>
    <t>(nbre d'agents en accueil de moins de trois ans) - 20 % (ETP non-qualifié) =</t>
  </si>
  <si>
    <t>Pour l’accueil d'enfants de moins de trois ans, le total du nombre minimal d’agents d’encadrement requis selon (l’art. 14. a) est de :</t>
  </si>
  <si>
    <t>1,17 X (nombre d'usager) =</t>
  </si>
  <si>
    <t xml:space="preserve">-  1,17 poste à temps plein par usager </t>
  </si>
  <si>
    <t>1. Pour l'accueil d'enfants de moins de trois ans, le nombre minimal d'agents d'encadrement est déterminé comme suit:</t>
  </si>
  <si>
    <t>(nbre d'agents en accueil psychothérapeutique) - 20 % (ETP non-qualifié) =</t>
  </si>
  <si>
    <t>Pour l’accueil psychothérapeutique de jour, le total du nombre minimal d’agents d’encadrement requis selon (l’art. 14. a) est de :</t>
  </si>
  <si>
    <t>0,47 X (nombre d'usager) =</t>
  </si>
  <si>
    <t xml:space="preserve">- 0,47 poste à temps plein par usager </t>
  </si>
  <si>
    <t>1. Pour l'accueil psychothérapeutique de jour, le nombre minimal d'agents d'encadrement est déterminé comme suit:</t>
  </si>
  <si>
    <t>(nbre d'agents en accueil psychothérapeutique de jour et de nuit ) - 20 % (ETP non-qualifié) =</t>
  </si>
  <si>
    <t>Pour l’accueil psychothérapeutique, le total du nombre minimal d’agents d’encadrement requis selon (l’art. 14. a) est de :</t>
  </si>
  <si>
    <t>1. Pour l'accueil psychothérapeutique J/N, le nombre minimal d'agents d'encadrement est déterminé comme suit:</t>
  </si>
  <si>
    <t>30 % de</t>
  </si>
  <si>
    <t>(nbre d'agents en accueil orthopédagogique) - 20 % (ETP non-qualifié) =</t>
  </si>
  <si>
    <t>80 % au moins du total des heures d'encadrement doit être assuré par des personnes répondant aux normes de qualification professionnelle à l'article 15:</t>
  </si>
  <si>
    <t>Pour l’accueil orthopédagogique de jour, le total du nombre minimal d’agents d’encadrement requis selon (l’art. 14. a) est de :</t>
  </si>
  <si>
    <t>0,24 X (nombre d'usager) =</t>
  </si>
  <si>
    <t xml:space="preserve">- 0,24 poste à temps plein par usager </t>
  </si>
  <si>
    <t>1. Pour l'accueil orthopédagogique de jour, le nombre minimal d'agents d'encadrement est déterminé comme suit:</t>
  </si>
  <si>
    <t>Pour l’accueil orthopédagogique, le total du nombre minimal d’agents d’encadrement requis selon (l’art. 14. a) est de :</t>
  </si>
  <si>
    <t>Pour l'accueil orthopédagogique, le total du nombre minimal d'agents d'encadrement en régime nuit veillante est :</t>
  </si>
  <si>
    <t>Pour l'accueil orthopédagogique, le total du nombre minimal d'agents d'encadrement en régime nuit dormante est :</t>
  </si>
  <si>
    <t>0,64 X (nombre d'usager) =</t>
  </si>
  <si>
    <t xml:space="preserve">- entre 6:00 et 22:00 heures : 0,64 poste à temps plein par usager </t>
  </si>
  <si>
    <t>1. Pour l'accueil orthopédagogique de jour et de nuit, le nombre minimal d'agents d'encadrement est déterminé comme suit:</t>
  </si>
  <si>
    <r>
      <rPr>
        <b/>
        <sz val="12"/>
        <rFont val="Calibri"/>
        <family val="2"/>
        <scheme val="minor"/>
      </rPr>
      <t>= ETP</t>
    </r>
    <r>
      <rPr>
        <sz val="11"/>
        <rFont val="Calibri"/>
        <family val="2"/>
        <scheme val="minor"/>
      </rPr>
      <t xml:space="preserve"> (article 15 alinéa 1)</t>
    </r>
  </si>
  <si>
    <r>
      <rPr>
        <b/>
        <sz val="11"/>
        <rFont val="Calibri"/>
        <family val="2"/>
        <scheme val="minor"/>
      </rPr>
      <t>moins</t>
    </r>
    <r>
      <rPr>
        <sz val="11"/>
        <rFont val="Calibri"/>
        <family val="2"/>
        <scheme val="minor"/>
      </rPr>
      <t xml:space="preserve"> (-) quali. profes. de type postsecondaire</t>
    </r>
  </si>
  <si>
    <r>
      <rPr>
        <b/>
        <sz val="11"/>
        <rFont val="Calibri"/>
        <family val="2"/>
        <scheme val="minor"/>
      </rPr>
      <t>moins</t>
    </r>
    <r>
      <rPr>
        <sz val="11"/>
        <rFont val="Calibri"/>
        <family val="2"/>
        <scheme val="minor"/>
      </rPr>
      <t xml:space="preserve"> (-) Art. 15 al. 2</t>
    </r>
  </si>
  <si>
    <t>=</t>
  </si>
  <si>
    <t>23 % de</t>
  </si>
  <si>
    <t>(nbre d'agents en accueil de base) - 20 % (ETP non-qualifié) =</t>
  </si>
  <si>
    <t>Pour l’accueil de base, le total du nombre minimal d’agents d’encadrement requis selon (l’art. 14. a) est de :</t>
  </si>
  <si>
    <t>Pour l'accueil de base, le total du nombre minimal d'agents d'encadrement en régime nuit veillante est :</t>
  </si>
  <si>
    <t>Pour l'accueil de base, le total du nombre minimal d'agents d'encadrement en régime nuit dormante est :</t>
  </si>
  <si>
    <t>0,54 X (nombre d'usager) =</t>
  </si>
  <si>
    <t xml:space="preserve">- entre 6:00 et 22:00 heures : 0,54 poste à temps plein par usager </t>
  </si>
  <si>
    <t>1. Pour l'accueil de base, le nombre minimal d'agents d'encadrement est déterminé comme suit :</t>
  </si>
  <si>
    <t>Nombre d'usagers</t>
  </si>
  <si>
    <t>Orthopé. Jour</t>
  </si>
  <si>
    <t>Psychothérap.</t>
  </si>
  <si>
    <t>Orthopé.</t>
  </si>
  <si>
    <t>Base</t>
  </si>
  <si>
    <t>FF</t>
  </si>
  <si>
    <t>Type d'actvité:</t>
  </si>
  <si>
    <t>Nom du gestionnaire:</t>
  </si>
  <si>
    <t xml:space="preserve">Selon l’annexe F de la Convention cadre journalier 2021, les critères de la qualification professionnelle des agents d’encadrement sont respectés : </t>
  </si>
  <si>
    <t xml:space="preserve">Selon l’annexe F de la Convention cadre journalier 2021, la norme minimale d’agents d’encadrement est respectée :   </t>
  </si>
  <si>
    <t>personnel postsecondaire art.16 (univ. inclus)</t>
  </si>
  <si>
    <t>Personnel qual. Universitaire</t>
  </si>
  <si>
    <t>N/A</t>
  </si>
  <si>
    <t>Orthopédagogique</t>
  </si>
  <si>
    <t>dont Personnel qual. Universitaire</t>
  </si>
  <si>
    <t>Récapitulatif</t>
  </si>
  <si>
    <t>Nombre min. d'agents d'encadrement</t>
  </si>
  <si>
    <t>Le restant doit être presté par du personnel qualifié au sens de l'article 15 alinéa 1 (en dehors des qualifications de type postsecondaire).</t>
  </si>
  <si>
    <t>18,4 % de</t>
  </si>
  <si>
    <t>18,4 % au minimum du personnel d’encadrement doivent faire valoir des qualifications professionnelles de type postsecondaire :</t>
  </si>
  <si>
    <t xml:space="preserve">Maximum 16 % de </t>
  </si>
  <si>
    <t>-   attributions la formation professionnelle.</t>
  </si>
  <si>
    <t xml:space="preserve">-   domaine socio-éducatif reconnue par le Ministre ayant dans ses </t>
  </si>
  <si>
    <t>-   secondaire, dont condition 100 heures de formation continue dans le</t>
  </si>
  <si>
    <t xml:space="preserve">-   personne ayant terminé avec succès 5 années d’enseignement </t>
  </si>
  <si>
    <t xml:space="preserve">-   CATP, diplôme d’aptitude professionnelle, diplôme de technicien et </t>
  </si>
  <si>
    <t>-   aide sociofamiliale</t>
  </si>
  <si>
    <t>-   auxiliaire économe et auxiliaire de vie</t>
  </si>
  <si>
    <t>16 % au maximum du personnel d’encadrement doivent être détenteurs de certificats énoncés à l’alinéa 2 de l’article 15, à savoir :</t>
  </si>
  <si>
    <t>2. Personnel qualifié et non-qualifié au sens de l'annexe F:</t>
  </si>
  <si>
    <t>Pour l’accueil  petit groupe, le total du nombre minimal d’agents d’encadrement requis selon l'annexe F est de :</t>
  </si>
  <si>
    <t>Accueil en petit groupe</t>
  </si>
  <si>
    <t>32 % de</t>
  </si>
  <si>
    <t>32 % au minimum du personnel d’encadrement doivent faire valoir des qualifications professionnelles de type postsecondaire :</t>
  </si>
  <si>
    <t>Pour l’accueil  urgent en situation de crise psychosociale aiguïe, le total du nombre minimal d’agents d’encadrement requis selon l'annexe F est de :</t>
  </si>
  <si>
    <t>1,0304 X (nombre d'usager) =</t>
  </si>
  <si>
    <t xml:space="preserve">-  1,0304 poste à temps plein par usager </t>
  </si>
  <si>
    <t>Accueil urgent en situation de crise psychosociale aiguïe</t>
  </si>
  <si>
    <t>Pour l’accueil d'enfants de moins de trois ans, le total du nombre minimal d’agents d’encadrement requis selon l'annexe F est de :</t>
  </si>
  <si>
    <t>1,1936 X (nombre d'usager) =</t>
  </si>
  <si>
    <t xml:space="preserve">-  1,1936 poste à temps plein par usager </t>
  </si>
  <si>
    <t>Accueil d'enfants de moins de trois ans</t>
  </si>
  <si>
    <t>Pour l’accueil psychothérapeutique de jour et de nuit, le total du nombre minimal d’agents d’encadrement requis selon l'annexe F est de :</t>
  </si>
  <si>
    <t>1,22 X (nombre d'usager) =</t>
  </si>
  <si>
    <t>1,22 ETP par enfant</t>
  </si>
  <si>
    <t>Accueil psychothérapeutique de jour et de nuit</t>
  </si>
  <si>
    <r>
      <rPr>
        <b/>
        <sz val="11"/>
        <rFont val="Calibri"/>
        <family val="2"/>
        <scheme val="minor"/>
      </rPr>
      <t>dont</t>
    </r>
    <r>
      <rPr>
        <sz val="11"/>
        <rFont val="Calibri"/>
        <family val="2"/>
        <scheme val="minor"/>
      </rPr>
      <t xml:space="preserve"> quali. Prof. de type universitaire</t>
    </r>
  </si>
  <si>
    <t>ETP qualifications professionnelles de type universitaire</t>
  </si>
  <si>
    <t>(ETP qualifiés)</t>
  </si>
  <si>
    <t>3 % de</t>
  </si>
  <si>
    <t>3 % au moins des heures d’encadrement prestées par du personnel qualifié doit être assuré par des personnes faisant valoir une qualification universitaire :</t>
  </si>
  <si>
    <t>24 % de</t>
  </si>
  <si>
    <t>24 % au minimum du personnel d’encadrement doivent faire valoir des qualifications professionnelles de type postsecondaire :</t>
  </si>
  <si>
    <t>Pour l’accueil orthopédagogique, le total du nombre minimal d’agents d’encadrement requis selon l'annexe F est de :</t>
  </si>
  <si>
    <t>0,8263 X (nombre d'usager) =</t>
  </si>
  <si>
    <t xml:space="preserve">-  0,8263 poste à temps plein par usager </t>
  </si>
  <si>
    <t>Accueil orthopédagogique J/N</t>
  </si>
  <si>
    <t>18,40 % de</t>
  </si>
  <si>
    <t>18,40 % au minimum du personnel d’encadrement doivent faire valoir des qualifications professionnelles de type postsecondaire :</t>
  </si>
  <si>
    <t>postes à plein temps.</t>
  </si>
  <si>
    <t>Pour l'accueil de base, le total du nombre minimal d'agents d'encadrement requis selon l'annexe F est de:</t>
  </si>
  <si>
    <t>0,7345 X (nombre d'usagers) =</t>
  </si>
  <si>
    <t>- 0,7345 ETP par enfant</t>
  </si>
  <si>
    <t>Accueil de base</t>
  </si>
  <si>
    <t>petit groupe</t>
  </si>
  <si>
    <t>psycho. Jour</t>
  </si>
  <si>
    <t>Orthopéd.</t>
  </si>
  <si>
    <t>Nombre de forfaits</t>
  </si>
  <si>
    <t>FF déplacements</t>
  </si>
  <si>
    <t>Forfait 11A</t>
  </si>
  <si>
    <t>Forfait 9.1</t>
  </si>
  <si>
    <t>Forfait 8.3</t>
  </si>
  <si>
    <t>Forfait 8.2</t>
  </si>
  <si>
    <t>Non</t>
  </si>
  <si>
    <t>Forfait 8.1</t>
  </si>
  <si>
    <t>Oui</t>
  </si>
  <si>
    <t>Détails:</t>
  </si>
  <si>
    <t>de l'Enfance et de la Jeunesse,</t>
  </si>
  <si>
    <t>Seuil:</t>
  </si>
  <si>
    <t>non-qual</t>
  </si>
  <si>
    <t>qual</t>
  </si>
  <si>
    <t>bac</t>
  </si>
  <si>
    <t>---&gt; Utiliser le filtre sur la colonne A en décochant "Hide" dans la liste pour actualiser le worksheet</t>
  </si>
  <si>
    <t>OK</t>
  </si>
  <si>
    <t>pièces agréments manquent+ diff nombre forfaits+ subd frais de fonctionnement</t>
  </si>
  <si>
    <t xml:space="preserve">subd frais de fonctionnement </t>
  </si>
  <si>
    <t>pièces agréments manquent+ diff nombre forfaits</t>
  </si>
  <si>
    <t>pièces agréments manquent + subd. Frais de fonctionnement</t>
  </si>
  <si>
    <t>pièces agréments manquent</t>
  </si>
  <si>
    <t>Heures prestées</t>
  </si>
  <si>
    <t>Montant par heure prestée</t>
  </si>
  <si>
    <t>Montant</t>
  </si>
  <si>
    <t>Frais courants de gestion et d'entretiens liés à la prise en charge du bénéficiaire</t>
  </si>
  <si>
    <t>non qualifiées</t>
  </si>
  <si>
    <t>master</t>
  </si>
  <si>
    <t>qualifiés</t>
  </si>
  <si>
    <t>bac+ (non compris master)</t>
  </si>
  <si>
    <t>max 10 % supérieur à la norme</t>
  </si>
  <si>
    <t>%</t>
  </si>
  <si>
    <t>Plafond qualification</t>
  </si>
  <si>
    <t>RTT*82,5%</t>
  </si>
  <si>
    <t>Heures prestées maximales</t>
  </si>
  <si>
    <t>RTT*67,5%</t>
  </si>
  <si>
    <t>Heures prestées minimums</t>
  </si>
  <si>
    <t>MONTANT</t>
  </si>
  <si>
    <t>Carrière</t>
  </si>
  <si>
    <t>Dépenses du personnel directement liées à l'encadrement</t>
  </si>
  <si>
    <t xml:space="preserve">Dépenses liées à l'adm., log.,dir. </t>
  </si>
  <si>
    <t>Travailleur désigné et délégation personnel</t>
  </si>
  <si>
    <t>Personnel de direction</t>
  </si>
  <si>
    <t>Personnel administratif et logistique ind lié à l'activité</t>
  </si>
  <si>
    <t>Personnel log. Direct liés à l'activité</t>
  </si>
  <si>
    <t>Montant par ETP encadrement</t>
  </si>
  <si>
    <t>Dépenses de personnel et frais courants de gestion et d'entretien non liés à la prise en charge du bénéficiaire</t>
  </si>
  <si>
    <t>Diviseur par heures (75% RTT)</t>
  </si>
  <si>
    <t>ETP encadrement</t>
  </si>
  <si>
    <t>Ambulatoire</t>
  </si>
  <si>
    <t>Norme de qualification</t>
  </si>
  <si>
    <t>en heures</t>
  </si>
  <si>
    <t>Résultat (Bénéfice/Perte)</t>
  </si>
  <si>
    <t>Recettes ONE (données ONE)</t>
  </si>
  <si>
    <t>%heures facturées/RTT réalisé par Gestionnaire</t>
  </si>
  <si>
    <t>%heures facturées/RTT</t>
  </si>
  <si>
    <t>Nombre d'heures/ETP encadrement</t>
  </si>
  <si>
    <t>coût par heure</t>
  </si>
  <si>
    <t>Coût du service (FP &amp; FF)</t>
  </si>
  <si>
    <t xml:space="preserve">TOTAL </t>
  </si>
  <si>
    <t>VAR/TOTAL</t>
  </si>
  <si>
    <t>Coût horaire (FF/nbr forfait)</t>
  </si>
  <si>
    <t>Dépenses liées à l'encadrement</t>
  </si>
  <si>
    <t>Frais de Fonctionnement</t>
  </si>
  <si>
    <t>Amortissements_x000D_
des subsides</t>
  </si>
  <si>
    <t>Amortissements_x000D_
cumulés fin exercice 2021</t>
  </si>
  <si>
    <t>Amortissements_x000D_
2021</t>
  </si>
  <si>
    <t xml:space="preserve">Amortissements </t>
  </si>
  <si>
    <t>TOTAL PERSONNEL</t>
  </si>
  <si>
    <t>Coût horaire</t>
  </si>
  <si>
    <t xml:space="preserve">Montant </t>
  </si>
  <si>
    <t>C4,PA3</t>
  </si>
  <si>
    <t xml:space="preserve">  </t>
  </si>
  <si>
    <t>Personnel encadrement</t>
  </si>
  <si>
    <t>Différence</t>
  </si>
  <si>
    <t xml:space="preserve">ONE </t>
  </si>
  <si>
    <t>Gestionnaire</t>
  </si>
  <si>
    <t>Fränk Eiffes</t>
  </si>
  <si>
    <t>Attaché</t>
  </si>
  <si>
    <t>Calcul de la norme minimale d’agents d’encadrement selon l'annexe F de la Convention cadre journalier 2023</t>
  </si>
  <si>
    <t>Effectifs du personnel d'encadrement selon l'annexe F de la convention cadre journalier 2023:</t>
  </si>
  <si>
    <t>Effectifs du personnel d'encadrement pendant la période du 01/01/2023 jusqu'au 31/12/2023</t>
  </si>
  <si>
    <t>Le nombre minimal d'agents d'encadrement peut être diminué de ETP pour l'année 2023</t>
  </si>
  <si>
    <t>Coûts salariaux 2023 avant remboursements</t>
  </si>
  <si>
    <t>Coûts salariaux 2023</t>
  </si>
  <si>
    <t>Salaires moyens 2023 (salaire par ETP)</t>
  </si>
  <si>
    <r>
      <t xml:space="preserve">Administration (dont autres honoraires, honoraires comptable et d'audit, leasing informatique, matériel de bureau, machines), </t>
    </r>
    <r>
      <rPr>
        <b/>
        <sz val="11"/>
        <color rgb="FF000000"/>
        <rFont val="Calibri"/>
        <family val="2"/>
        <scheme val="minor"/>
      </rPr>
      <t>formations exclues</t>
    </r>
    <r>
      <rPr>
        <sz val="11"/>
        <color rgb="FF000000"/>
        <rFont val="Calibri"/>
        <family val="2"/>
        <scheme val="minor"/>
      </rPr>
      <t>.</t>
    </r>
  </si>
  <si>
    <t>Période de janvier 2023 à février 2023</t>
  </si>
  <si>
    <t>Période de mars 2023 à avril 2023</t>
  </si>
  <si>
    <t>Période de mai 2023 à août 2023</t>
  </si>
  <si>
    <t>Période de septembre 2023 à de 2023</t>
  </si>
  <si>
    <t xml:space="preserve">-  1,39 poste à temps plein par usager </t>
  </si>
  <si>
    <t>1,39 X (nombre d'usager) =</t>
  </si>
  <si>
    <t>Heures de maladie de longue durée (à ne compléter que pour le personnel d'encadrement)</t>
  </si>
  <si>
    <t>TOTAL maladie</t>
  </si>
  <si>
    <t>Absences pour formation et pour des raisons de santé</t>
  </si>
  <si>
    <t>Heures</t>
  </si>
  <si>
    <t>RTT/2023</t>
  </si>
  <si>
    <t>=nbr ETP encadrement*RTT 2023*75%</t>
  </si>
  <si>
    <t>Amortissements
2023</t>
  </si>
  <si>
    <t>Amortissements
cumulés fin exercice 2023</t>
  </si>
  <si>
    <t>Amortissement des subsides cumulés fin exercice 2023</t>
  </si>
  <si>
    <t>Base/Ortho</t>
  </si>
  <si>
    <t>postsecondaire</t>
  </si>
  <si>
    <t>personnel non qualifié</t>
  </si>
  <si>
    <t>personnel art 15 art 1</t>
  </si>
  <si>
    <t>personnel art 15 art 2</t>
  </si>
  <si>
    <t>Personnel encadrant</t>
  </si>
  <si>
    <t>Forfaits et recettes pour la période de référence du 1er janvier 2023 au 31 décembre 2023</t>
  </si>
  <si>
    <t>Nombre d'ETP en 2023 (maladie déduite)</t>
  </si>
  <si>
    <t>Sal. annuel moyen</t>
  </si>
  <si>
    <t>Relevé du personnel</t>
  </si>
  <si>
    <t>Veiller à compléter, le cas échéant, le tableau ci-dessous les informations du personnel d'encadrement uniquement.
Pour les heures de maladie, elles ne sont à compléter que pour le jour/nuit. 
Inutile de les remplir pour l'ambulatoire.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</si>
</sst>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00\ _€_-;\-* #,##0.00\ _€_-;_-* &quot;-&quot;??\ _€_-;_-@_-"/>
    <numFmt numFmtId="165" formatCode="[$-140C]General"/>
    <numFmt numFmtId="166" formatCode="&quot; &quot;#,##0.00&quot;    &quot;;&quot;-&quot;#,##0.00&quot;    &quot;;&quot; -&quot;#&quot;    &quot;;&quot; &quot;@&quot; &quot;"/>
    <numFmt numFmtId="167" formatCode="&quot; &quot;#,##0.00&quot; € &quot;;&quot;-&quot;#,##0.00&quot; € &quot;;&quot; -&quot;#&quot; € &quot;;&quot; &quot;@&quot; &quot;"/>
    <numFmt numFmtId="168" formatCode="[$-140C]0.00"/>
    <numFmt numFmtId="169" formatCode="#,##0.00&quot; €&quot;"/>
    <numFmt numFmtId="170" formatCode="#,##0.00000\ &quot;€&quot;"/>
    <numFmt numFmtId="171" formatCode="#,##0\ &quot;€&quot;"/>
    <numFmt numFmtId="172" formatCode="0.0000"/>
    <numFmt numFmtId="173" formatCode="#,##0.00\ &quot;€&quot;"/>
    <numFmt numFmtId="174" formatCode="[$-140C]d/m/yy"/>
    <numFmt numFmtId="175" formatCode="[$-140C]0"/>
    <numFmt numFmtId="176" formatCode="#,##0.0000\ &quot;€&quot;"/>
    <numFmt numFmtId="177" formatCode="_(* #,##0.00_);_(* \(#,##0.00\);_(* &quot;-&quot;??_);_(@_)"/>
    <numFmt numFmtId="178" formatCode="_-* #,##0.00\ [$€-46E]_-;\-* #,##0.00\ [$€-46E]_-;_-* &quot;-&quot;??\ [$€-46E]_-;_-@_-"/>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0"/>
      <color rgb="FF000000"/>
      <name val="Arial"/>
      <family val="2"/>
    </font>
    <font>
      <sz val="11"/>
      <color theme="1"/>
      <name val="Arial"/>
      <family val="2"/>
    </font>
    <font>
      <sz val="8"/>
      <color rgb="FF000000"/>
      <name val="Calibri"/>
      <family val="2"/>
      <scheme val="minor"/>
    </font>
    <font>
      <b/>
      <i/>
      <sz val="11"/>
      <color rgb="FF000000"/>
      <name val="Calibri"/>
      <family val="2"/>
      <scheme val="minor"/>
    </font>
    <font>
      <b/>
      <sz val="12"/>
      <color rgb="FF000000"/>
      <name val="Calibri"/>
      <family val="2"/>
      <scheme val="minor"/>
    </font>
    <font>
      <b/>
      <sz val="12"/>
      <color theme="1"/>
      <name val="Calibri"/>
      <family val="2"/>
      <scheme val="minor"/>
    </font>
    <font>
      <sz val="11"/>
      <color rgb="FF000000"/>
      <name val="Calibri"/>
      <family val="2"/>
      <scheme val="minor"/>
    </font>
    <font>
      <b/>
      <sz val="16"/>
      <color theme="0"/>
      <name val="Calibri"/>
      <family val="2"/>
      <scheme val="minor"/>
    </font>
    <font>
      <b/>
      <sz val="12"/>
      <name val="Calibri"/>
      <family val="2"/>
      <scheme val="minor"/>
    </font>
    <font>
      <sz val="11"/>
      <name val="Calibri"/>
      <family val="2"/>
      <scheme val="minor"/>
    </font>
    <font>
      <b/>
      <sz val="11"/>
      <name val="Calibri"/>
      <family val="2"/>
      <scheme val="minor"/>
    </font>
    <font>
      <i/>
      <sz val="11"/>
      <color theme="1"/>
      <name val="Calibri"/>
      <family val="2"/>
      <scheme val="minor"/>
    </font>
    <font>
      <b/>
      <sz val="10"/>
      <color rgb="FF000000"/>
      <name val="Calibri"/>
      <family val="2"/>
      <scheme val="minor"/>
    </font>
    <font>
      <b/>
      <sz val="11"/>
      <color rgb="FF000000"/>
      <name val="Calibri"/>
      <family val="2"/>
      <scheme val="minor"/>
    </font>
    <font>
      <b/>
      <sz val="14"/>
      <color rgb="FF000000"/>
      <name val="Calibri"/>
      <family val="2"/>
      <scheme val="minor"/>
    </font>
    <font>
      <sz val="12"/>
      <color rgb="FF000000"/>
      <name val="Calibri"/>
      <family val="2"/>
      <scheme val="minor"/>
    </font>
    <font>
      <i/>
      <sz val="11"/>
      <color rgb="FF000000"/>
      <name val="Calibri"/>
      <family val="2"/>
      <scheme val="minor"/>
    </font>
    <font>
      <b/>
      <sz val="11"/>
      <color theme="0"/>
      <name val="Calibri"/>
      <family val="2"/>
      <scheme val="minor"/>
    </font>
    <font>
      <b/>
      <sz val="14"/>
      <color theme="1"/>
      <name val="Calibri"/>
      <family val="2"/>
      <scheme val="minor"/>
    </font>
    <font>
      <b/>
      <sz val="16"/>
      <color theme="1"/>
      <name val="Calibri"/>
      <family val="2"/>
      <scheme val="minor"/>
    </font>
    <font>
      <b/>
      <sz val="14"/>
      <color theme="0"/>
      <name val="Calibri"/>
      <family val="2"/>
      <scheme val="minor"/>
    </font>
    <font>
      <sz val="10"/>
      <color theme="1"/>
      <name val="Calibri"/>
      <family val="2"/>
      <scheme val="minor"/>
    </font>
    <font>
      <b/>
      <sz val="11"/>
      <color rgb="FFFF0000"/>
      <name val="Calibri"/>
      <family val="2"/>
      <scheme val="minor"/>
    </font>
    <font>
      <sz val="11"/>
      <color theme="0"/>
      <name val="Calibri"/>
      <family val="2"/>
      <scheme val="minor"/>
    </font>
    <font>
      <b/>
      <i/>
      <sz val="11"/>
      <color theme="1"/>
      <name val="Calibri"/>
      <family val="2"/>
      <scheme val="minor"/>
    </font>
    <font>
      <sz val="10"/>
      <color rgb="FF000000"/>
      <name val="Calibri"/>
      <family val="2"/>
      <scheme val="minor"/>
    </font>
    <font>
      <sz val="9"/>
      <color rgb="FF00000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sz val="14"/>
      <color rgb="FFFF0000"/>
      <name val="Calibri"/>
      <family val="2"/>
      <scheme val="minor"/>
    </font>
    <font>
      <b/>
      <sz val="20"/>
      <color rgb="FF000000"/>
      <name val="Calibri"/>
      <family val="2"/>
    </font>
    <font>
      <b/>
      <sz val="11"/>
      <color rgb="FF000000"/>
      <name val="Calibri"/>
      <family val="2"/>
    </font>
    <font>
      <b/>
      <i/>
      <sz val="16"/>
      <color rgb="FF000000"/>
      <name val="Calibri"/>
      <family val="2"/>
    </font>
    <font>
      <b/>
      <sz val="10"/>
      <color rgb="FF000000"/>
      <name val="Calibri"/>
      <family val="2"/>
    </font>
    <font>
      <b/>
      <sz val="14"/>
      <color rgb="FF000000"/>
      <name val="Calibri"/>
      <family val="2"/>
    </font>
    <font>
      <b/>
      <sz val="9"/>
      <color rgb="FF000000"/>
      <name val="Calibri"/>
      <family val="2"/>
    </font>
    <font>
      <sz val="9"/>
      <color rgb="FF000000"/>
      <name val="Calibri"/>
      <family val="2"/>
    </font>
    <font>
      <i/>
      <sz val="10"/>
      <color rgb="FF000000"/>
      <name val="Calibri"/>
      <family val="2"/>
      <scheme val="minor"/>
    </font>
    <font>
      <sz val="11"/>
      <color rgb="FFFF0000"/>
      <name val="Calibri"/>
      <family val="2"/>
      <scheme val="minor"/>
    </font>
    <font>
      <i/>
      <sz val="11"/>
      <color rgb="FFFF0000"/>
      <name val="Calibri"/>
      <family val="2"/>
      <scheme val="minor"/>
    </font>
    <font>
      <b/>
      <sz val="10"/>
      <color rgb="FFFF0000"/>
      <name val="Calibri"/>
      <family val="2"/>
      <scheme val="minor"/>
    </font>
    <font>
      <i/>
      <sz val="10"/>
      <color theme="1"/>
      <name val="Calibri"/>
      <family val="2"/>
      <scheme val="minor"/>
    </font>
    <font>
      <b/>
      <sz val="10"/>
      <color theme="1"/>
      <name val="Calibri"/>
      <family val="2"/>
      <scheme val="minor"/>
    </font>
    <font>
      <sz val="8"/>
      <color rgb="FF000000"/>
      <name val="Arial"/>
      <family val="2"/>
    </font>
    <font>
      <b/>
      <i/>
      <sz val="13.5"/>
      <color rgb="FF000000"/>
      <name val="Arial"/>
      <family val="2"/>
    </font>
    <font>
      <b/>
      <i/>
      <sz val="10"/>
      <color rgb="FF000000"/>
      <name val="Arial"/>
      <family val="2"/>
    </font>
    <font>
      <b/>
      <sz val="13.5"/>
      <color rgb="FF000000"/>
      <name val="Arial"/>
      <family val="2"/>
    </font>
    <font>
      <i/>
      <sz val="10"/>
      <color rgb="FF000000"/>
      <name val="Arial"/>
      <family val="2"/>
    </font>
    <font>
      <b/>
      <sz val="10"/>
      <color rgb="FF000000"/>
      <name val="Arial"/>
      <family val="2"/>
    </font>
    <font>
      <b/>
      <sz val="12"/>
      <color rgb="FF00B050"/>
      <name val="Calibri"/>
      <family val="2"/>
      <scheme val="minor"/>
    </font>
    <font>
      <b/>
      <i/>
      <u/>
      <sz val="14"/>
      <color theme="1"/>
      <name val="Calibri"/>
      <family val="2"/>
      <scheme val="minor"/>
    </font>
    <font>
      <b/>
      <sz val="18"/>
      <color theme="1"/>
      <name val="Calibri"/>
      <family val="2"/>
      <scheme val="minor"/>
    </font>
    <font>
      <b/>
      <sz val="20"/>
      <color theme="1"/>
      <name val="Calibri"/>
      <family val="2"/>
      <scheme val="minor"/>
    </font>
    <font>
      <b/>
      <sz val="14"/>
      <name val="Calibri"/>
      <family val="2"/>
      <scheme val="minor"/>
    </font>
    <font>
      <b/>
      <i/>
      <sz val="14"/>
      <color theme="1"/>
      <name val="Arial"/>
      <family val="2"/>
    </font>
    <font>
      <strike/>
      <sz val="11"/>
      <color theme="1"/>
      <name val="Calibri"/>
      <family val="2"/>
      <scheme val="minor"/>
    </font>
    <font>
      <b/>
      <sz val="10"/>
      <name val="Arial"/>
      <family val="2"/>
    </font>
    <font>
      <b/>
      <sz val="20"/>
      <name val="Calibri"/>
      <family val="2"/>
      <scheme val="minor"/>
    </font>
    <font>
      <b/>
      <sz val="16"/>
      <color rgb="FF000000"/>
      <name val="Calibri"/>
      <family val="2"/>
      <scheme val="minor"/>
    </font>
    <font>
      <b/>
      <i/>
      <sz val="15"/>
      <color rgb="FF000000"/>
      <name val="Calibri"/>
      <family val="2"/>
      <scheme val="minor"/>
    </font>
    <font>
      <sz val="9"/>
      <color indexed="81"/>
      <name val="Tahoma"/>
      <family val="2"/>
    </font>
    <font>
      <b/>
      <u/>
      <sz val="11"/>
      <color theme="1"/>
      <name val="Calibri"/>
      <family val="2"/>
      <scheme val="minor"/>
    </font>
    <font>
      <b/>
      <sz val="14"/>
      <color theme="1"/>
      <name val="Arial"/>
      <family val="2"/>
    </font>
    <font>
      <b/>
      <i/>
      <u/>
      <sz val="11"/>
      <color theme="1"/>
      <name val="Calibri"/>
      <family val="2"/>
      <scheme val="minor"/>
    </font>
    <font>
      <b/>
      <sz val="11"/>
      <color theme="1"/>
      <name val="Arial"/>
      <family val="2"/>
    </font>
    <font>
      <sz val="12"/>
      <color theme="1"/>
      <name val="Calibri"/>
      <family val="2"/>
      <scheme val="minor"/>
    </font>
  </fonts>
  <fills count="55">
    <fill>
      <patternFill patternType="none"/>
    </fill>
    <fill>
      <patternFill patternType="gray125"/>
    </fill>
    <fill>
      <patternFill patternType="solid">
        <fgColor theme="4" tint="0.79998168889431442"/>
        <bgColor indexed="64"/>
      </patternFill>
    </fill>
    <fill>
      <patternFill patternType="solid">
        <fgColor rgb="FFBFBFBF"/>
        <bgColor rgb="FFBFBFBF"/>
      </patternFill>
    </fill>
    <fill>
      <patternFill patternType="solid">
        <fgColor rgb="FFD9D9D9"/>
        <bgColor rgb="FFD9D9D9"/>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D7E4BD"/>
        <bgColor rgb="FFD7E4BD"/>
      </patternFill>
    </fill>
    <fill>
      <patternFill patternType="solid">
        <fgColor theme="0" tint="-0.14999847407452621"/>
        <bgColor indexed="64"/>
      </patternFill>
    </fill>
    <fill>
      <patternFill patternType="solid">
        <fgColor rgb="FFB3A2C7"/>
        <bgColor rgb="FFB3A2C7"/>
      </patternFill>
    </fill>
    <fill>
      <patternFill patternType="solid">
        <fgColor theme="0" tint="-0.249977111117893"/>
        <bgColor rgb="FFA6A6A6"/>
      </patternFill>
    </fill>
    <fill>
      <patternFill patternType="solid">
        <fgColor theme="0" tint="-0.249977111117893"/>
        <bgColor rgb="FFDCE6F2"/>
      </patternFill>
    </fill>
    <fill>
      <patternFill patternType="solid">
        <fgColor rgb="FFC3D69B"/>
        <bgColor rgb="FFC3D69B"/>
      </patternFill>
    </fill>
    <fill>
      <patternFill patternType="solid">
        <fgColor theme="0" tint="-0.249977111117893"/>
        <bgColor rgb="FFBFBFBF"/>
      </patternFill>
    </fill>
    <fill>
      <patternFill patternType="solid">
        <fgColor theme="0" tint="-0.249977111117893"/>
        <bgColor indexed="64"/>
      </patternFill>
    </fill>
    <fill>
      <patternFill patternType="solid">
        <fgColor rgb="FFBFBFC0"/>
        <bgColor rgb="FFBFBFC0"/>
      </patternFill>
    </fill>
    <fill>
      <patternFill patternType="solid">
        <fgColor theme="4" tint="0.79998168889431442"/>
        <bgColor rgb="FFBFBFC0"/>
      </patternFill>
    </fill>
    <fill>
      <patternFill patternType="solid">
        <fgColor theme="8"/>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0.249977111117893"/>
        <bgColor rgb="FFBFBFBF"/>
      </patternFill>
    </fill>
    <fill>
      <patternFill patternType="solid">
        <fgColor theme="0" tint="-4.9989318521683403E-2"/>
        <bgColor indexed="64"/>
      </patternFill>
    </fill>
    <fill>
      <patternFill patternType="solid">
        <fgColor rgb="FFFFFF00"/>
        <bgColor indexed="64"/>
      </patternFill>
    </fill>
    <fill>
      <patternFill patternType="mediumGray"/>
    </fill>
    <fill>
      <patternFill patternType="solid">
        <fgColor theme="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rgb="FFDCE6F2"/>
      </patternFill>
    </fill>
    <fill>
      <patternFill patternType="solid">
        <fgColor theme="0" tint="-0.14999847407452621"/>
        <bgColor rgb="FFBFBFBF"/>
      </patternFill>
    </fill>
    <fill>
      <patternFill patternType="solid">
        <fgColor rgb="FFFCD5B5"/>
        <bgColor rgb="FFFCD5B5"/>
      </patternFill>
    </fill>
    <fill>
      <patternFill patternType="solid">
        <fgColor rgb="FFFFFFCC"/>
        <bgColor rgb="FFFFFFCC"/>
      </patternFill>
    </fill>
    <fill>
      <patternFill patternType="solid">
        <fgColor rgb="FFFFFF00"/>
        <bgColor rgb="FFFFFF00"/>
      </patternFill>
    </fill>
    <fill>
      <patternFill patternType="solid">
        <fgColor rgb="FFF2F2F2"/>
        <bgColor rgb="FFF2F2F2"/>
      </patternFill>
    </fill>
    <fill>
      <patternFill patternType="solid">
        <fgColor theme="9" tint="0.59999389629810485"/>
        <bgColor indexed="64"/>
      </patternFill>
    </fill>
    <fill>
      <patternFill patternType="solid">
        <fgColor theme="0" tint="-0.34998626667073579"/>
        <bgColor rgb="FFBFBFBF"/>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rgb="FFDCE6F2"/>
        <bgColor indexed="64"/>
      </patternFill>
    </fill>
    <fill>
      <patternFill patternType="darkTrellis"/>
    </fill>
    <fill>
      <patternFill patternType="darkTrellis">
        <bgColor theme="0"/>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rgb="FF92D050"/>
        <bgColor rgb="FFDCE6F2"/>
      </patternFill>
    </fill>
    <fill>
      <patternFill patternType="darkTrellis">
        <fgColor theme="1"/>
        <bgColor theme="0" tint="-0.499984740745262"/>
      </patternFill>
    </fill>
    <fill>
      <patternFill patternType="darkGray">
        <fgColor auto="1"/>
        <bgColor theme="0" tint="-0.499984740745262"/>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auto="1"/>
      </top>
      <bottom style="thin">
        <color indexed="64"/>
      </bottom>
      <diagonal/>
    </border>
    <border>
      <left/>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double">
        <color rgb="FF000000"/>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thin">
        <color rgb="FF000000"/>
      </right>
      <top style="thin">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right style="hair">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indexed="64"/>
      </top>
      <bottom style="thin">
        <color indexed="64"/>
      </bottom>
      <diagonal/>
    </border>
    <border>
      <left/>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thin">
        <color indexed="64"/>
      </bottom>
      <diagonal/>
    </border>
    <border>
      <left/>
      <right style="thin">
        <color rgb="FF000000"/>
      </right>
      <top style="thin">
        <color auto="1"/>
      </top>
      <bottom style="thin">
        <color indexed="64"/>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s>
  <cellStyleXfs count="11">
    <xf numFmtId="0" fontId="0" fillId="0" borderId="0"/>
    <xf numFmtId="9" fontId="1" fillId="0" borderId="0" applyFont="0" applyFill="0" applyBorder="0" applyAlignment="0" applyProtection="0"/>
    <xf numFmtId="165" fontId="3" fillId="0" borderId="0"/>
    <xf numFmtId="0" fontId="5" fillId="0" borderId="0"/>
    <xf numFmtId="0" fontId="5" fillId="0" borderId="0"/>
    <xf numFmtId="165" fontId="4" fillId="0" borderId="0"/>
    <xf numFmtId="0" fontId="5" fillId="0" borderId="0"/>
    <xf numFmtId="164"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165" fontId="4" fillId="0" borderId="0"/>
  </cellStyleXfs>
  <cellXfs count="1031">
    <xf numFmtId="0" fontId="0" fillId="0" borderId="0" xfId="0"/>
    <xf numFmtId="0" fontId="2" fillId="0" borderId="0" xfId="0" applyFont="1"/>
    <xf numFmtId="0" fontId="0" fillId="0" borderId="1" xfId="0" applyBorder="1"/>
    <xf numFmtId="165" fontId="6" fillId="0" borderId="0" xfId="2" applyFont="1" applyAlignment="1">
      <alignment vertical="center"/>
    </xf>
    <xf numFmtId="165" fontId="6" fillId="0" borderId="0" xfId="2" applyFont="1" applyAlignment="1">
      <alignment horizontal="center" vertical="center"/>
    </xf>
    <xf numFmtId="165" fontId="6" fillId="0" borderId="0" xfId="2" applyFont="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xf>
    <xf numFmtId="0" fontId="10" fillId="0" borderId="1" xfId="0" applyFont="1" applyBorder="1" applyAlignment="1">
      <alignment horizontal="right" vertical="center"/>
    </xf>
    <xf numFmtId="1" fontId="0" fillId="0" borderId="1" xfId="0" applyNumberFormat="1" applyBorder="1"/>
    <xf numFmtId="170" fontId="0" fillId="0" borderId="1" xfId="0" applyNumberFormat="1" applyBorder="1"/>
    <xf numFmtId="171" fontId="0" fillId="0" borderId="1" xfId="0" applyNumberFormat="1" applyBorder="1"/>
    <xf numFmtId="165" fontId="10" fillId="0" borderId="2" xfId="5" applyFont="1" applyBorder="1" applyAlignment="1">
      <alignment vertical="center"/>
    </xf>
    <xf numFmtId="165" fontId="10" fillId="0" borderId="0" xfId="2" applyFont="1"/>
    <xf numFmtId="165" fontId="10" fillId="0" borderId="0" xfId="2" applyFont="1" applyAlignment="1">
      <alignment horizontal="center" wrapText="1"/>
    </xf>
    <xf numFmtId="165" fontId="10" fillId="0" borderId="0" xfId="2" applyFont="1" applyAlignment="1">
      <alignment horizontal="center" vertical="center" wrapText="1"/>
    </xf>
    <xf numFmtId="165" fontId="10" fillId="0" borderId="0" xfId="2" applyFont="1" applyAlignment="1">
      <alignment vertical="center" wrapText="1"/>
    </xf>
    <xf numFmtId="165" fontId="10" fillId="15" borderId="16" xfId="2" applyFont="1" applyFill="1" applyBorder="1" applyAlignment="1">
      <alignment horizontal="center" vertical="center"/>
    </xf>
    <xf numFmtId="165" fontId="6" fillId="0" borderId="0" xfId="2" applyFont="1" applyAlignment="1">
      <alignment horizontal="left" vertical="center" wrapText="1"/>
    </xf>
    <xf numFmtId="165" fontId="6" fillId="0" borderId="0" xfId="2" applyFont="1" applyAlignment="1">
      <alignment horizontal="center" vertical="center" wrapText="1"/>
    </xf>
    <xf numFmtId="166" fontId="6" fillId="0" borderId="0" xfId="3" applyNumberFormat="1" applyFont="1" applyAlignment="1">
      <alignment vertical="center" wrapText="1"/>
    </xf>
    <xf numFmtId="165" fontId="19" fillId="0" borderId="0" xfId="2" applyFont="1" applyAlignment="1">
      <alignment horizontal="left" vertical="center" wrapText="1"/>
    </xf>
    <xf numFmtId="165" fontId="17" fillId="0" borderId="0" xfId="5" applyFont="1" applyAlignment="1">
      <alignment vertical="center"/>
    </xf>
    <xf numFmtId="2" fontId="2" fillId="0" borderId="1" xfId="0" applyNumberFormat="1" applyFont="1" applyBorder="1"/>
    <xf numFmtId="0" fontId="8" fillId="2" borderId="1" xfId="3" applyFont="1" applyFill="1" applyBorder="1" applyAlignment="1" applyProtection="1">
      <alignment vertical="center" wrapText="1"/>
      <protection locked="0"/>
    </xf>
    <xf numFmtId="165" fontId="10" fillId="0" borderId="1" xfId="5" applyFont="1" applyBorder="1" applyAlignment="1">
      <alignment vertical="center"/>
    </xf>
    <xf numFmtId="167" fontId="6" fillId="0" borderId="0" xfId="3" applyNumberFormat="1" applyFont="1" applyAlignment="1">
      <alignment vertical="center" wrapText="1"/>
    </xf>
    <xf numFmtId="0" fontId="8" fillId="0" borderId="0" xfId="3" applyFont="1" applyAlignment="1">
      <alignment vertical="center" wrapText="1"/>
    </xf>
    <xf numFmtId="0" fontId="22" fillId="0" borderId="0" xfId="0" applyFont="1"/>
    <xf numFmtId="10" fontId="0" fillId="26" borderId="50" xfId="1" applyNumberFormat="1" applyFont="1" applyFill="1" applyBorder="1" applyProtection="1"/>
    <xf numFmtId="0" fontId="2" fillId="26" borderId="47" xfId="0" applyFont="1" applyFill="1" applyBorder="1"/>
    <xf numFmtId="0" fontId="2" fillId="26" borderId="49" xfId="0" applyFont="1" applyFill="1" applyBorder="1"/>
    <xf numFmtId="10" fontId="2" fillId="26" borderId="49" xfId="1" applyNumberFormat="1" applyFont="1" applyFill="1" applyBorder="1" applyProtection="1"/>
    <xf numFmtId="10" fontId="2" fillId="26" borderId="50" xfId="1" applyNumberFormat="1" applyFont="1" applyFill="1" applyBorder="1" applyProtection="1"/>
    <xf numFmtId="0" fontId="0" fillId="26" borderId="47" xfId="0" applyFill="1" applyBorder="1"/>
    <xf numFmtId="0" fontId="0" fillId="26" borderId="51" xfId="0" applyFill="1" applyBorder="1"/>
    <xf numFmtId="0" fontId="0" fillId="26" borderId="49" xfId="0" applyFill="1" applyBorder="1"/>
    <xf numFmtId="10" fontId="0" fillId="0" borderId="1" xfId="1" applyNumberFormat="1" applyFont="1" applyBorder="1" applyProtection="1"/>
    <xf numFmtId="165" fontId="10" fillId="0" borderId="24" xfId="2" applyFont="1" applyBorder="1" applyAlignment="1">
      <alignment vertical="center"/>
    </xf>
    <xf numFmtId="165" fontId="10" fillId="0" borderId="0" xfId="2" applyFont="1" applyAlignment="1">
      <alignment vertical="center"/>
    </xf>
    <xf numFmtId="165" fontId="18" fillId="8" borderId="18" xfId="2" applyFont="1" applyFill="1" applyBorder="1" applyAlignment="1">
      <alignment horizontal="center" vertical="center"/>
    </xf>
    <xf numFmtId="165" fontId="29" fillId="0" borderId="3" xfId="2" applyFont="1" applyBorder="1" applyAlignment="1">
      <alignment horizontal="center" vertical="center" wrapText="1"/>
    </xf>
    <xf numFmtId="165" fontId="29" fillId="0" borderId="6" xfId="2" applyFont="1" applyBorder="1" applyAlignment="1">
      <alignment horizontal="center" vertical="center" wrapText="1"/>
    </xf>
    <xf numFmtId="2" fontId="25" fillId="0" borderId="1" xfId="0" applyNumberFormat="1" applyFont="1" applyBorder="1" applyAlignment="1">
      <alignment vertical="center"/>
    </xf>
    <xf numFmtId="2" fontId="10" fillId="0" borderId="3" xfId="3" applyNumberFormat="1" applyFont="1" applyBorder="1" applyAlignment="1">
      <alignment vertical="center"/>
    </xf>
    <xf numFmtId="2" fontId="2" fillId="21" borderId="3" xfId="3" applyNumberFormat="1" applyFont="1" applyFill="1" applyBorder="1" applyAlignment="1">
      <alignment horizontal="right" vertical="center"/>
    </xf>
    <xf numFmtId="173" fontId="2" fillId="21" borderId="3" xfId="3" applyNumberFormat="1" applyFont="1" applyFill="1" applyBorder="1" applyAlignment="1">
      <alignment vertical="center"/>
    </xf>
    <xf numFmtId="173" fontId="10" fillId="4" borderId="3" xfId="3" applyNumberFormat="1" applyFont="1" applyFill="1" applyBorder="1" applyAlignment="1">
      <alignment vertical="center"/>
    </xf>
    <xf numFmtId="173" fontId="17" fillId="21" borderId="3" xfId="3" applyNumberFormat="1" applyFont="1" applyFill="1" applyBorder="1" applyAlignment="1">
      <alignment vertical="center"/>
    </xf>
    <xf numFmtId="2" fontId="10" fillId="2" borderId="1" xfId="2" applyNumberFormat="1" applyFont="1" applyFill="1" applyBorder="1" applyAlignment="1" applyProtection="1">
      <alignment horizontal="center" vertical="center" wrapText="1"/>
      <protection locked="0"/>
    </xf>
    <xf numFmtId="2" fontId="10" fillId="2" borderId="1" xfId="2" applyNumberFormat="1" applyFont="1" applyFill="1" applyBorder="1" applyAlignment="1" applyProtection="1">
      <alignment horizontal="center" wrapText="1"/>
      <protection locked="0"/>
    </xf>
    <xf numFmtId="2" fontId="10" fillId="0" borderId="1" xfId="2" applyNumberFormat="1" applyFont="1" applyBorder="1" applyAlignment="1">
      <alignment horizontal="center" wrapText="1"/>
    </xf>
    <xf numFmtId="2" fontId="2" fillId="26" borderId="47" xfId="0" applyNumberFormat="1" applyFont="1" applyFill="1" applyBorder="1"/>
    <xf numFmtId="2" fontId="2" fillId="26" borderId="48" xfId="0" applyNumberFormat="1" applyFont="1" applyFill="1" applyBorder="1"/>
    <xf numFmtId="173" fontId="2" fillId="26" borderId="47" xfId="0" applyNumberFormat="1" applyFont="1" applyFill="1" applyBorder="1"/>
    <xf numFmtId="173" fontId="2" fillId="26" borderId="48" xfId="0" applyNumberFormat="1" applyFont="1" applyFill="1" applyBorder="1"/>
    <xf numFmtId="173" fontId="2" fillId="26" borderId="51" xfId="0" applyNumberFormat="1" applyFont="1" applyFill="1" applyBorder="1"/>
    <xf numFmtId="173" fontId="2" fillId="26" borderId="52" xfId="0" applyNumberFormat="1" applyFont="1" applyFill="1" applyBorder="1"/>
    <xf numFmtId="173" fontId="2" fillId="26" borderId="49" xfId="0" applyNumberFormat="1" applyFont="1" applyFill="1" applyBorder="1"/>
    <xf numFmtId="173" fontId="2" fillId="26" borderId="50" xfId="0" applyNumberFormat="1" applyFont="1" applyFill="1" applyBorder="1"/>
    <xf numFmtId="0" fontId="26" fillId="0" borderId="0" xfId="0" applyFont="1" applyAlignment="1">
      <alignment horizontal="right"/>
    </xf>
    <xf numFmtId="170" fontId="0" fillId="0" borderId="0" xfId="0" applyNumberFormat="1"/>
    <xf numFmtId="173" fontId="0" fillId="0" borderId="0" xfId="0" applyNumberFormat="1"/>
    <xf numFmtId="0" fontId="2" fillId="0" borderId="0" xfId="0" applyFont="1" applyAlignment="1">
      <alignment vertical="center"/>
    </xf>
    <xf numFmtId="0" fontId="23" fillId="0" borderId="11" xfId="0" applyFont="1" applyBorder="1" applyAlignment="1">
      <alignment horizontal="left"/>
    </xf>
    <xf numFmtId="165" fontId="17" fillId="11" borderId="1" xfId="2" applyFont="1" applyFill="1" applyBorder="1" applyAlignment="1">
      <alignment horizontal="center" vertical="center" wrapText="1"/>
    </xf>
    <xf numFmtId="171" fontId="0" fillId="0" borderId="0" xfId="0" applyNumberFormat="1"/>
    <xf numFmtId="165" fontId="0" fillId="0" borderId="0" xfId="5" applyFont="1" applyAlignment="1">
      <alignment vertical="center"/>
    </xf>
    <xf numFmtId="165" fontId="17" fillId="10" borderId="16" xfId="2" applyFont="1" applyFill="1" applyBorder="1" applyAlignment="1">
      <alignment horizontal="center" vertical="center" wrapText="1"/>
    </xf>
    <xf numFmtId="165" fontId="17" fillId="10" borderId="15" xfId="2" applyFont="1" applyFill="1" applyBorder="1" applyAlignment="1">
      <alignment horizontal="center" vertical="center" wrapText="1"/>
    </xf>
    <xf numFmtId="10" fontId="0" fillId="0" borderId="49" xfId="1" applyNumberFormat="1" applyFont="1" applyFill="1" applyBorder="1" applyProtection="1"/>
    <xf numFmtId="2" fontId="0" fillId="0" borderId="12" xfId="1" applyNumberFormat="1" applyFont="1" applyBorder="1" applyAlignment="1" applyProtection="1"/>
    <xf numFmtId="0" fontId="29" fillId="22" borderId="1" xfId="0" applyFont="1" applyFill="1" applyBorder="1" applyAlignment="1">
      <alignment horizontal="center" vertical="center" wrapText="1"/>
    </xf>
    <xf numFmtId="3" fontId="29" fillId="2" borderId="1" xfId="0" applyNumberFormat="1" applyFont="1" applyFill="1" applyBorder="1" applyAlignment="1" applyProtection="1">
      <alignment horizontal="right" vertical="center" wrapText="1"/>
      <protection locked="0"/>
    </xf>
    <xf numFmtId="2" fontId="29" fillId="0" borderId="1" xfId="0" applyNumberFormat="1" applyFont="1" applyBorder="1" applyAlignment="1">
      <alignment horizontal="right" vertical="center" wrapText="1"/>
    </xf>
    <xf numFmtId="10" fontId="29" fillId="0" borderId="1" xfId="0" applyNumberFormat="1" applyFont="1" applyBorder="1" applyAlignment="1">
      <alignment horizontal="right" vertical="center" wrapText="1"/>
    </xf>
    <xf numFmtId="10" fontId="16" fillId="26" borderId="1" xfId="1" applyNumberFormat="1" applyFont="1" applyFill="1" applyBorder="1" applyAlignment="1" applyProtection="1">
      <alignment horizontal="right" vertical="center" wrapText="1"/>
    </xf>
    <xf numFmtId="0" fontId="6" fillId="22" borderId="1" xfId="0" applyFont="1" applyFill="1" applyBorder="1" applyAlignment="1">
      <alignment horizontal="center" vertical="center" wrapText="1"/>
    </xf>
    <xf numFmtId="0" fontId="0" fillId="0" borderId="41" xfId="0" applyBorder="1"/>
    <xf numFmtId="0" fontId="0" fillId="2" borderId="30" xfId="0" applyFill="1" applyBorder="1" applyProtection="1">
      <protection locked="0"/>
    </xf>
    <xf numFmtId="0" fontId="0" fillId="0" borderId="26" xfId="0" applyBorder="1"/>
    <xf numFmtId="0" fontId="0" fillId="2" borderId="27" xfId="0" applyFill="1" applyBorder="1" applyProtection="1">
      <protection locked="0"/>
    </xf>
    <xf numFmtId="0" fontId="0" fillId="0" borderId="28" xfId="0" applyBorder="1"/>
    <xf numFmtId="0" fontId="0" fillId="2" borderId="29" xfId="0" applyFill="1" applyBorder="1" applyAlignment="1" applyProtection="1">
      <alignment horizontal="left"/>
      <protection locked="0"/>
    </xf>
    <xf numFmtId="0" fontId="0" fillId="26" borderId="0" xfId="0" applyFill="1"/>
    <xf numFmtId="0" fontId="0" fillId="0" borderId="1" xfId="0" applyBorder="1" applyAlignment="1">
      <alignment horizontal="right" vertical="center"/>
    </xf>
    <xf numFmtId="172" fontId="0" fillId="0" borderId="1" xfId="0" applyNumberFormat="1" applyBorder="1" applyAlignment="1">
      <alignment vertical="center"/>
    </xf>
    <xf numFmtId="172" fontId="0" fillId="24" borderId="1" xfId="0" applyNumberFormat="1" applyFill="1" applyBorder="1" applyAlignment="1">
      <alignment vertical="center"/>
    </xf>
    <xf numFmtId="0" fontId="0" fillId="0" borderId="25" xfId="0" applyBorder="1"/>
    <xf numFmtId="0" fontId="0" fillId="0" borderId="30" xfId="0" applyBorder="1"/>
    <xf numFmtId="0" fontId="0" fillId="0" borderId="47" xfId="0" applyBorder="1"/>
    <xf numFmtId="2" fontId="0" fillId="0" borderId="47" xfId="0" quotePrefix="1" applyNumberFormat="1" applyBorder="1"/>
    <xf numFmtId="2" fontId="0" fillId="0" borderId="47" xfId="0" applyNumberFormat="1" applyBorder="1"/>
    <xf numFmtId="2" fontId="0" fillId="26" borderId="48" xfId="0" applyNumberFormat="1" applyFill="1" applyBorder="1"/>
    <xf numFmtId="0" fontId="0" fillId="0" borderId="49" xfId="0" applyBorder="1"/>
    <xf numFmtId="173" fontId="0" fillId="26" borderId="48" xfId="0" applyNumberFormat="1" applyFill="1" applyBorder="1"/>
    <xf numFmtId="0" fontId="0" fillId="0" borderId="51" xfId="0" applyBorder="1"/>
    <xf numFmtId="173" fontId="0" fillId="26" borderId="52" xfId="0" applyNumberFormat="1" applyFill="1" applyBorder="1"/>
    <xf numFmtId="173" fontId="0" fillId="26" borderId="50" xfId="0" applyNumberFormat="1" applyFill="1" applyBorder="1"/>
    <xf numFmtId="165" fontId="0" fillId="0" borderId="1" xfId="0" applyNumberFormat="1" applyBorder="1"/>
    <xf numFmtId="2" fontId="0" fillId="0" borderId="1" xfId="0" applyNumberFormat="1" applyBorder="1"/>
    <xf numFmtId="10" fontId="0" fillId="0" borderId="1" xfId="0" applyNumberFormat="1" applyBorder="1"/>
    <xf numFmtId="2" fontId="0" fillId="26" borderId="1" xfId="0" applyNumberFormat="1" applyFill="1" applyBorder="1"/>
    <xf numFmtId="0" fontId="0" fillId="0" borderId="0" xfId="0" applyAlignment="1">
      <alignment vertical="center"/>
    </xf>
    <xf numFmtId="165" fontId="16" fillId="0" borderId="3" xfId="2" applyFont="1" applyBorder="1" applyAlignment="1">
      <alignment horizontal="center" vertical="center" wrapText="1"/>
    </xf>
    <xf numFmtId="165" fontId="30" fillId="5" borderId="3" xfId="2" applyFont="1" applyFill="1" applyBorder="1" applyAlignment="1" applyProtection="1">
      <alignment vertical="center"/>
      <protection locked="0"/>
    </xf>
    <xf numFmtId="172" fontId="30" fillId="5" borderId="3" xfId="3" applyNumberFormat="1" applyFont="1" applyFill="1" applyBorder="1" applyAlignment="1" applyProtection="1">
      <alignment vertical="center"/>
      <protection locked="0"/>
    </xf>
    <xf numFmtId="1" fontId="30" fillId="5" borderId="3" xfId="3" applyNumberFormat="1" applyFont="1" applyFill="1" applyBorder="1" applyAlignment="1" applyProtection="1">
      <alignment vertical="center"/>
      <protection locked="0"/>
    </xf>
    <xf numFmtId="2" fontId="30" fillId="5" borderId="3" xfId="3" applyNumberFormat="1" applyFont="1" applyFill="1" applyBorder="1" applyAlignment="1" applyProtection="1">
      <alignment vertical="center"/>
      <protection locked="0"/>
    </xf>
    <xf numFmtId="172" fontId="30" fillId="0" borderId="3" xfId="3" applyNumberFormat="1" applyFont="1" applyBorder="1" applyAlignment="1">
      <alignment vertical="center"/>
    </xf>
    <xf numFmtId="168" fontId="2" fillId="0" borderId="0" xfId="2" applyNumberFormat="1" applyFont="1" applyAlignment="1">
      <alignment wrapText="1"/>
    </xf>
    <xf numFmtId="4" fontId="0" fillId="0" borderId="1" xfId="0" applyNumberFormat="1" applyBorder="1" applyAlignment="1">
      <alignment vertical="center"/>
    </xf>
    <xf numFmtId="165" fontId="18" fillId="0" borderId="0" xfId="2" applyFont="1" applyAlignment="1">
      <alignment horizontal="center" vertical="center"/>
    </xf>
    <xf numFmtId="165" fontId="10" fillId="0" borderId="0" xfId="2" applyFont="1" applyAlignment="1">
      <alignment horizontal="center" vertical="center"/>
    </xf>
    <xf numFmtId="165" fontId="10" fillId="13" borderId="17" xfId="2" applyFont="1" applyFill="1" applyBorder="1" applyAlignment="1">
      <alignment horizontal="right" vertical="center"/>
    </xf>
    <xf numFmtId="165" fontId="10" fillId="13" borderId="3" xfId="2" applyFont="1" applyFill="1" applyBorder="1" applyAlignment="1">
      <alignment horizontal="right" vertical="center"/>
    </xf>
    <xf numFmtId="10" fontId="0" fillId="0" borderId="0" xfId="1" applyNumberFormat="1" applyFont="1" applyProtection="1"/>
    <xf numFmtId="173" fontId="30" fillId="0" borderId="3" xfId="3" quotePrefix="1" applyNumberFormat="1" applyFont="1" applyBorder="1" applyAlignment="1">
      <alignment vertical="center"/>
    </xf>
    <xf numFmtId="165" fontId="16" fillId="0" borderId="0" xfId="2" applyFont="1" applyAlignment="1">
      <alignment horizontal="center" vertical="center" wrapText="1"/>
    </xf>
    <xf numFmtId="173" fontId="30" fillId="0" borderId="0" xfId="3" applyNumberFormat="1" applyFont="1" applyAlignment="1">
      <alignment vertical="center"/>
    </xf>
    <xf numFmtId="10" fontId="0" fillId="2" borderId="60" xfId="1" applyNumberFormat="1" applyFont="1" applyFill="1" applyBorder="1" applyProtection="1">
      <protection locked="0"/>
    </xf>
    <xf numFmtId="0" fontId="0" fillId="0" borderId="0" xfId="0" applyAlignment="1">
      <alignment horizontal="right"/>
    </xf>
    <xf numFmtId="169" fontId="10" fillId="0" borderId="0" xfId="2" applyNumberFormat="1" applyFont="1" applyAlignment="1">
      <alignment horizontal="center" vertical="center"/>
    </xf>
    <xf numFmtId="169" fontId="10" fillId="17" borderId="0" xfId="2" applyNumberFormat="1" applyFont="1" applyFill="1" applyAlignment="1" applyProtection="1">
      <alignment horizontal="center" vertical="center"/>
      <protection locked="0"/>
    </xf>
    <xf numFmtId="0" fontId="0" fillId="0" borderId="1" xfId="0" applyBorder="1" applyAlignment="1">
      <alignment horizontal="right"/>
    </xf>
    <xf numFmtId="10" fontId="0" fillId="0" borderId="0" xfId="0" applyNumberFormat="1"/>
    <xf numFmtId="2" fontId="29" fillId="28" borderId="3" xfId="3" applyNumberFormat="1" applyFont="1" applyFill="1" applyBorder="1" applyAlignment="1" applyProtection="1">
      <alignment vertical="center" wrapText="1"/>
      <protection locked="0"/>
    </xf>
    <xf numFmtId="2" fontId="29" fillId="28" borderId="2" xfId="3" applyNumberFormat="1" applyFont="1" applyFill="1" applyBorder="1" applyAlignment="1" applyProtection="1">
      <alignment vertical="center" wrapText="1"/>
      <protection locked="0"/>
    </xf>
    <xf numFmtId="2" fontId="6" fillId="0" borderId="0" xfId="3" applyNumberFormat="1" applyFont="1" applyAlignment="1">
      <alignment vertical="center" wrapText="1"/>
    </xf>
    <xf numFmtId="4" fontId="29" fillId="0" borderId="1" xfId="0" applyNumberFormat="1" applyFont="1" applyBorder="1" applyAlignment="1">
      <alignment horizontal="right" vertical="center" wrapText="1"/>
    </xf>
    <xf numFmtId="165" fontId="1" fillId="0" borderId="0" xfId="5" applyFont="1" applyAlignment="1">
      <alignment vertical="center"/>
    </xf>
    <xf numFmtId="168" fontId="17" fillId="0" borderId="0" xfId="2" applyNumberFormat="1" applyFont="1"/>
    <xf numFmtId="0" fontId="0" fillId="0" borderId="0" xfId="0" applyAlignment="1">
      <alignment horizontal="center" wrapText="1"/>
    </xf>
    <xf numFmtId="173" fontId="0" fillId="0" borderId="47" xfId="0" applyNumberFormat="1" applyBorder="1"/>
    <xf numFmtId="173" fontId="0" fillId="0" borderId="51" xfId="0" applyNumberFormat="1" applyBorder="1"/>
    <xf numFmtId="173" fontId="0" fillId="0" borderId="49" xfId="0" applyNumberFormat="1" applyBorder="1"/>
    <xf numFmtId="172" fontId="0" fillId="0" borderId="1" xfId="0" applyNumberFormat="1" applyBorder="1"/>
    <xf numFmtId="173" fontId="10" fillId="2" borderId="4" xfId="2" applyNumberFormat="1" applyFont="1" applyFill="1" applyBorder="1" applyAlignment="1" applyProtection="1">
      <alignment horizontal="right" vertical="center"/>
      <protection locked="0"/>
    </xf>
    <xf numFmtId="173" fontId="10" fillId="11" borderId="4" xfId="2" applyNumberFormat="1" applyFont="1" applyFill="1" applyBorder="1" applyAlignment="1">
      <alignment vertical="center"/>
    </xf>
    <xf numFmtId="173" fontId="10" fillId="2" borderId="14" xfId="2" applyNumberFormat="1" applyFont="1" applyFill="1" applyBorder="1" applyAlignment="1" applyProtection="1">
      <alignment horizontal="right" vertical="center"/>
      <protection locked="0"/>
    </xf>
    <xf numFmtId="173" fontId="10" fillId="11" borderId="14" xfId="2" applyNumberFormat="1" applyFont="1" applyFill="1" applyBorder="1" applyAlignment="1">
      <alignment vertical="center"/>
    </xf>
    <xf numFmtId="173" fontId="17" fillId="12" borderId="4" xfId="2" applyNumberFormat="1" applyFont="1" applyFill="1" applyBorder="1" applyAlignment="1">
      <alignment horizontal="right" vertical="center"/>
    </xf>
    <xf numFmtId="173" fontId="10" fillId="2" borderId="3" xfId="2" applyNumberFormat="1" applyFont="1" applyFill="1" applyBorder="1" applyAlignment="1" applyProtection="1">
      <alignment horizontal="right" vertical="center"/>
      <protection locked="0"/>
    </xf>
    <xf numFmtId="173" fontId="10" fillId="11" borderId="3" xfId="2" applyNumberFormat="1" applyFont="1" applyFill="1" applyBorder="1" applyAlignment="1">
      <alignment vertical="center"/>
    </xf>
    <xf numFmtId="173" fontId="17" fillId="12" borderId="15" xfId="2" applyNumberFormat="1" applyFont="1" applyFill="1" applyBorder="1" applyAlignment="1">
      <alignment horizontal="right" vertical="center"/>
    </xf>
    <xf numFmtId="173" fontId="17" fillId="12" borderId="16" xfId="2" applyNumberFormat="1" applyFont="1" applyFill="1" applyBorder="1" applyAlignment="1">
      <alignment horizontal="right" vertical="center"/>
    </xf>
    <xf numFmtId="173" fontId="10" fillId="11" borderId="16" xfId="2" applyNumberFormat="1" applyFont="1" applyFill="1" applyBorder="1" applyAlignment="1">
      <alignment vertical="center"/>
    </xf>
    <xf numFmtId="173" fontId="10" fillId="2" borderId="15" xfId="2" applyNumberFormat="1" applyFont="1" applyFill="1" applyBorder="1" applyAlignment="1" applyProtection="1">
      <alignment vertical="center"/>
      <protection locked="0"/>
    </xf>
    <xf numFmtId="173" fontId="10" fillId="2" borderId="16" xfId="2" applyNumberFormat="1" applyFont="1" applyFill="1" applyBorder="1" applyAlignment="1" applyProtection="1">
      <alignment vertical="center"/>
      <protection locked="0"/>
    </xf>
    <xf numFmtId="173" fontId="10" fillId="2" borderId="17" xfId="2" applyNumberFormat="1" applyFont="1" applyFill="1" applyBorder="1" applyAlignment="1" applyProtection="1">
      <alignment vertical="center"/>
      <protection locked="0"/>
    </xf>
    <xf numFmtId="173" fontId="10" fillId="2" borderId="61" xfId="2" applyNumberFormat="1" applyFont="1" applyFill="1" applyBorder="1" applyAlignment="1" applyProtection="1">
      <alignment vertical="center"/>
      <protection locked="0"/>
    </xf>
    <xf numFmtId="173" fontId="10" fillId="14" borderId="16" xfId="2" applyNumberFormat="1" applyFont="1" applyFill="1" applyBorder="1" applyAlignment="1">
      <alignment vertical="center"/>
    </xf>
    <xf numFmtId="173" fontId="10" fillId="2" borderId="3" xfId="2" applyNumberFormat="1" applyFont="1" applyFill="1" applyBorder="1" applyAlignment="1" applyProtection="1">
      <alignment vertical="center"/>
      <protection locked="0"/>
    </xf>
    <xf numFmtId="173" fontId="10" fillId="2" borderId="62" xfId="2" applyNumberFormat="1" applyFont="1" applyFill="1" applyBorder="1" applyAlignment="1" applyProtection="1">
      <alignment vertical="center"/>
      <protection locked="0"/>
    </xf>
    <xf numFmtId="173" fontId="17" fillId="12" borderId="3" xfId="2" applyNumberFormat="1" applyFont="1" applyFill="1" applyBorder="1" applyAlignment="1">
      <alignment vertical="center"/>
    </xf>
    <xf numFmtId="3" fontId="29" fillId="27" borderId="1" xfId="0" applyNumberFormat="1" applyFont="1" applyFill="1" applyBorder="1" applyAlignment="1" applyProtection="1">
      <alignment horizontal="right" vertical="center" wrapText="1"/>
      <protection locked="0"/>
    </xf>
    <xf numFmtId="2" fontId="25" fillId="27" borderId="1" xfId="0" applyNumberFormat="1" applyFont="1" applyFill="1" applyBorder="1" applyAlignment="1" applyProtection="1">
      <alignment vertical="center"/>
      <protection locked="0"/>
    </xf>
    <xf numFmtId="169" fontId="10" fillId="27" borderId="0" xfId="2" applyNumberFormat="1" applyFont="1" applyFill="1" applyAlignment="1" applyProtection="1">
      <alignment horizontal="center" vertical="center"/>
      <protection locked="0"/>
    </xf>
    <xf numFmtId="0" fontId="21" fillId="25" borderId="53" xfId="0" applyFont="1" applyFill="1" applyBorder="1" applyAlignment="1">
      <alignment vertical="center"/>
    </xf>
    <xf numFmtId="0" fontId="21" fillId="25" borderId="25" xfId="0" applyFont="1" applyFill="1" applyBorder="1" applyAlignment="1">
      <alignment vertical="center"/>
    </xf>
    <xf numFmtId="0" fontId="21" fillId="25" borderId="55" xfId="0" applyFont="1" applyFill="1" applyBorder="1" applyAlignment="1">
      <alignment vertical="center"/>
    </xf>
    <xf numFmtId="0" fontId="21" fillId="25" borderId="57" xfId="0" applyFont="1" applyFill="1" applyBorder="1" applyAlignment="1">
      <alignment vertical="center"/>
    </xf>
    <xf numFmtId="0" fontId="32" fillId="25" borderId="54" xfId="0" applyFont="1" applyFill="1" applyBorder="1" applyAlignment="1">
      <alignment horizontal="center"/>
    </xf>
    <xf numFmtId="0" fontId="21" fillId="25" borderId="1" xfId="0" applyFont="1" applyFill="1" applyBorder="1" applyAlignment="1">
      <alignment horizontal="center" vertical="center" wrapText="1"/>
    </xf>
    <xf numFmtId="165" fontId="16" fillId="0" borderId="4" xfId="2" applyFont="1" applyBorder="1" applyAlignment="1">
      <alignment horizontal="center" vertical="center" wrapText="1"/>
    </xf>
    <xf numFmtId="165" fontId="10" fillId="9" borderId="1" xfId="2" applyFont="1" applyFill="1" applyBorder="1" applyAlignment="1">
      <alignment horizontal="center" vertical="center" wrapText="1"/>
    </xf>
    <xf numFmtId="165" fontId="17" fillId="14" borderId="1" xfId="2" applyFont="1" applyFill="1" applyBorder="1" applyAlignment="1">
      <alignment horizontal="center" vertical="center" wrapText="1"/>
    </xf>
    <xf numFmtId="0" fontId="0" fillId="0" borderId="0" xfId="0" applyAlignment="1">
      <alignment wrapText="1"/>
    </xf>
    <xf numFmtId="165" fontId="17" fillId="0" borderId="0" xfId="5" applyFont="1" applyAlignment="1">
      <alignment horizontal="center" vertical="center"/>
    </xf>
    <xf numFmtId="173" fontId="2" fillId="0" borderId="0" xfId="3" applyNumberFormat="1" applyFont="1" applyAlignment="1">
      <alignment vertical="center"/>
    </xf>
    <xf numFmtId="2" fontId="2" fillId="0" borderId="0" xfId="3" applyNumberFormat="1" applyFont="1" applyAlignment="1">
      <alignment vertical="center"/>
    </xf>
    <xf numFmtId="173" fontId="17" fillId="0" borderId="0" xfId="3" applyNumberFormat="1" applyFont="1" applyAlignment="1">
      <alignment vertical="center"/>
    </xf>
    <xf numFmtId="4" fontId="17" fillId="21" borderId="3" xfId="3" applyNumberFormat="1" applyFont="1" applyFill="1" applyBorder="1" applyAlignment="1">
      <alignment vertical="center"/>
    </xf>
    <xf numFmtId="0" fontId="0" fillId="0" borderId="0" xfId="0" applyAlignment="1">
      <alignment horizontal="left" vertical="center"/>
    </xf>
    <xf numFmtId="0" fontId="2" fillId="0" borderId="0" xfId="0" applyFont="1" applyAlignment="1">
      <alignment horizontal="left" vertical="center"/>
    </xf>
    <xf numFmtId="173" fontId="0" fillId="0" borderId="1" xfId="0" applyNumberFormat="1" applyBorder="1"/>
    <xf numFmtId="173" fontId="30" fillId="5" borderId="3" xfId="3" applyNumberFormat="1" applyFont="1" applyFill="1" applyBorder="1" applyAlignment="1" applyProtection="1">
      <alignment vertical="center"/>
      <protection locked="0"/>
    </xf>
    <xf numFmtId="0" fontId="0" fillId="0" borderId="0" xfId="0" quotePrefix="1"/>
    <xf numFmtId="2" fontId="2" fillId="0" borderId="0" xfId="3" applyNumberFormat="1" applyFont="1" applyAlignment="1">
      <alignment horizontal="right" vertical="center"/>
    </xf>
    <xf numFmtId="4" fontId="17" fillId="0" borderId="0" xfId="3" applyNumberFormat="1" applyFont="1" applyAlignment="1">
      <alignment vertical="center"/>
    </xf>
    <xf numFmtId="2" fontId="10" fillId="0" borderId="1" xfId="3" applyNumberFormat="1" applyFont="1" applyBorder="1" applyAlignment="1">
      <alignment vertical="center"/>
    </xf>
    <xf numFmtId="173" fontId="10" fillId="4" borderId="1" xfId="3" applyNumberFormat="1" applyFont="1" applyFill="1" applyBorder="1" applyAlignment="1">
      <alignment vertical="center"/>
    </xf>
    <xf numFmtId="2" fontId="2" fillId="21" borderId="1" xfId="3" applyNumberFormat="1" applyFont="1" applyFill="1" applyBorder="1" applyAlignment="1">
      <alignment horizontal="right" vertical="center"/>
    </xf>
    <xf numFmtId="173" fontId="2" fillId="21" borderId="1" xfId="3" applyNumberFormat="1" applyFont="1" applyFill="1" applyBorder="1" applyAlignment="1">
      <alignment vertical="center"/>
    </xf>
    <xf numFmtId="173" fontId="17" fillId="21" borderId="1" xfId="3" applyNumberFormat="1" applyFont="1" applyFill="1" applyBorder="1" applyAlignment="1">
      <alignment vertical="center"/>
    </xf>
    <xf numFmtId="4" fontId="17" fillId="21" borderId="1" xfId="3" applyNumberFormat="1" applyFont="1" applyFill="1" applyBorder="1" applyAlignment="1">
      <alignment vertical="center"/>
    </xf>
    <xf numFmtId="173" fontId="10" fillId="29" borderId="3" xfId="3" applyNumberFormat="1" applyFont="1" applyFill="1" applyBorder="1" applyAlignment="1">
      <alignment vertical="center"/>
    </xf>
    <xf numFmtId="4" fontId="10" fillId="29" borderId="3" xfId="3" applyNumberFormat="1" applyFont="1" applyFill="1" applyBorder="1" applyAlignment="1">
      <alignment vertical="center"/>
    </xf>
    <xf numFmtId="173" fontId="0" fillId="29" borderId="3" xfId="3" applyNumberFormat="1" applyFont="1" applyFill="1" applyBorder="1" applyAlignment="1">
      <alignment vertical="center"/>
    </xf>
    <xf numFmtId="2" fontId="2" fillId="14" borderId="3" xfId="3" applyNumberFormat="1" applyFont="1" applyFill="1" applyBorder="1" applyAlignment="1">
      <alignment horizontal="right" vertical="center"/>
    </xf>
    <xf numFmtId="173" fontId="2" fillId="14" borderId="3" xfId="3" applyNumberFormat="1" applyFont="1" applyFill="1" applyBorder="1" applyAlignment="1">
      <alignment vertical="center"/>
    </xf>
    <xf numFmtId="173" fontId="17" fillId="14" borderId="3" xfId="3" applyNumberFormat="1" applyFont="1" applyFill="1" applyBorder="1" applyAlignment="1">
      <alignment vertical="center"/>
    </xf>
    <xf numFmtId="4" fontId="17" fillId="14" borderId="3" xfId="3" applyNumberFormat="1" applyFont="1" applyFill="1" applyBorder="1" applyAlignment="1">
      <alignment vertical="center"/>
    </xf>
    <xf numFmtId="165" fontId="10" fillId="0" borderId="0" xfId="5" applyFont="1" applyAlignment="1">
      <alignment vertical="center"/>
    </xf>
    <xf numFmtId="2" fontId="10" fillId="0" borderId="0" xfId="3" applyNumberFormat="1" applyFont="1" applyAlignment="1">
      <alignment vertical="center"/>
    </xf>
    <xf numFmtId="173" fontId="0" fillId="29" borderId="1" xfId="3" applyNumberFormat="1" applyFont="1" applyFill="1" applyBorder="1" applyAlignment="1">
      <alignment vertical="center"/>
    </xf>
    <xf numFmtId="173" fontId="10" fillId="29" borderId="1" xfId="3" applyNumberFormat="1" applyFont="1" applyFill="1" applyBorder="1" applyAlignment="1">
      <alignment vertical="center"/>
    </xf>
    <xf numFmtId="4" fontId="10" fillId="29" borderId="1" xfId="3" applyNumberFormat="1" applyFont="1" applyFill="1" applyBorder="1" applyAlignment="1">
      <alignment vertical="center"/>
    </xf>
    <xf numFmtId="2" fontId="2" fillId="14" borderId="1" xfId="3" applyNumberFormat="1" applyFont="1" applyFill="1" applyBorder="1" applyAlignment="1">
      <alignment horizontal="right" vertical="center"/>
    </xf>
    <xf numFmtId="173" fontId="2" fillId="14" borderId="1" xfId="3" applyNumberFormat="1" applyFont="1" applyFill="1" applyBorder="1" applyAlignment="1">
      <alignment vertical="center"/>
    </xf>
    <xf numFmtId="173" fontId="17" fillId="14" borderId="1" xfId="3" applyNumberFormat="1" applyFont="1" applyFill="1" applyBorder="1" applyAlignment="1">
      <alignment vertical="center"/>
    </xf>
    <xf numFmtId="4" fontId="17" fillId="14" borderId="1" xfId="3" applyNumberFormat="1" applyFont="1" applyFill="1" applyBorder="1" applyAlignment="1">
      <alignment vertical="center"/>
    </xf>
    <xf numFmtId="165" fontId="29" fillId="0" borderId="0" xfId="2" applyFont="1"/>
    <xf numFmtId="165" fontId="17" fillId="0" borderId="0" xfId="2" applyFont="1" applyAlignment="1">
      <alignment vertical="center"/>
    </xf>
    <xf numFmtId="0" fontId="27" fillId="25" borderId="25" xfId="0" applyFont="1" applyFill="1" applyBorder="1"/>
    <xf numFmtId="0" fontId="33" fillId="25" borderId="26" xfId="0" applyFont="1" applyFill="1" applyBorder="1" applyAlignment="1">
      <alignment horizontal="center" vertical="center"/>
    </xf>
    <xf numFmtId="0" fontId="27" fillId="25" borderId="55" xfId="0" applyFont="1" applyFill="1" applyBorder="1"/>
    <xf numFmtId="0" fontId="21" fillId="25" borderId="55" xfId="0" applyFont="1" applyFill="1" applyBorder="1"/>
    <xf numFmtId="0" fontId="2" fillId="0" borderId="36" xfId="0" applyFont="1" applyBorder="1"/>
    <xf numFmtId="0" fontId="0" fillId="0" borderId="75" xfId="0" applyBorder="1"/>
    <xf numFmtId="165" fontId="10" fillId="0" borderId="76" xfId="5" applyFont="1" applyBorder="1" applyAlignment="1">
      <alignment vertical="center"/>
    </xf>
    <xf numFmtId="0" fontId="0" fillId="0" borderId="76" xfId="0" applyBorder="1"/>
    <xf numFmtId="0" fontId="27" fillId="25" borderId="55" xfId="0" applyFont="1" applyFill="1" applyBorder="1" applyAlignment="1">
      <alignment vertical="center"/>
    </xf>
    <xf numFmtId="165" fontId="35" fillId="0" borderId="7" xfId="2" applyFont="1" applyBorder="1"/>
    <xf numFmtId="165" fontId="3" fillId="0" borderId="7" xfId="2" applyBorder="1"/>
    <xf numFmtId="165" fontId="3" fillId="0" borderId="7" xfId="2" applyBorder="1" applyAlignment="1">
      <alignment horizontal="center"/>
    </xf>
    <xf numFmtId="165" fontId="3" fillId="0" borderId="0" xfId="2"/>
    <xf numFmtId="165" fontId="3" fillId="0" borderId="0" xfId="2" applyAlignment="1">
      <alignment horizontal="center"/>
    </xf>
    <xf numFmtId="165" fontId="3" fillId="30" borderId="0" xfId="2" applyFill="1" applyAlignment="1">
      <alignment horizontal="center"/>
    </xf>
    <xf numFmtId="165" fontId="3" fillId="30" borderId="0" xfId="2" applyFill="1"/>
    <xf numFmtId="165" fontId="36" fillId="30" borderId="0" xfId="2" applyFont="1" applyFill="1" applyAlignment="1">
      <alignment horizontal="center"/>
    </xf>
    <xf numFmtId="174" fontId="36" fillId="31" borderId="3" xfId="2" applyNumberFormat="1" applyFont="1" applyFill="1" applyBorder="1" applyAlignment="1" applyProtection="1">
      <alignment horizontal="center"/>
      <protection locked="0"/>
    </xf>
    <xf numFmtId="175" fontId="3" fillId="0" borderId="3" xfId="2" applyNumberFormat="1" applyBorder="1"/>
    <xf numFmtId="0" fontId="36" fillId="31" borderId="3" xfId="4" applyFont="1" applyFill="1" applyBorder="1" applyProtection="1">
      <protection locked="0"/>
    </xf>
    <xf numFmtId="165" fontId="3" fillId="0" borderId="3" xfId="2" applyBorder="1"/>
    <xf numFmtId="174" fontId="3" fillId="31" borderId="3" xfId="2" applyNumberFormat="1" applyFill="1" applyBorder="1" applyAlignment="1" applyProtection="1">
      <alignment horizontal="center"/>
      <protection locked="0"/>
    </xf>
    <xf numFmtId="165" fontId="36" fillId="30" borderId="0" xfId="2" applyFont="1" applyFill="1" applyAlignment="1">
      <alignment horizontal="right"/>
    </xf>
    <xf numFmtId="168" fontId="36" fillId="30" borderId="0" xfId="2" applyNumberFormat="1" applyFont="1" applyFill="1"/>
    <xf numFmtId="165" fontId="36" fillId="32" borderId="3" xfId="2" applyFont="1" applyFill="1" applyBorder="1"/>
    <xf numFmtId="168" fontId="36" fillId="32" borderId="3" xfId="2" applyNumberFormat="1" applyFont="1" applyFill="1" applyBorder="1"/>
    <xf numFmtId="0" fontId="5" fillId="0" borderId="0" xfId="6"/>
    <xf numFmtId="165" fontId="37" fillId="0" borderId="0" xfId="2" applyFont="1"/>
    <xf numFmtId="165" fontId="38" fillId="0" borderId="7" xfId="2" applyFont="1" applyBorder="1" applyAlignment="1">
      <alignment horizontal="right"/>
    </xf>
    <xf numFmtId="165" fontId="39" fillId="0" borderId="7" xfId="2" applyFont="1" applyBorder="1" applyAlignment="1">
      <alignment horizontal="right"/>
    </xf>
    <xf numFmtId="165" fontId="35" fillId="0" borderId="7" xfId="2" applyFont="1" applyBorder="1" applyAlignment="1">
      <alignment horizontal="center"/>
    </xf>
    <xf numFmtId="165" fontId="36" fillId="32" borderId="3" xfId="2" applyFont="1" applyFill="1" applyBorder="1" applyAlignment="1">
      <alignment horizontal="center" vertical="center"/>
    </xf>
    <xf numFmtId="165" fontId="35" fillId="0" borderId="0" xfId="2" applyFont="1"/>
    <xf numFmtId="165" fontId="36" fillId="33" borderId="2" xfId="2" applyFont="1" applyFill="1" applyBorder="1" applyAlignment="1">
      <alignment horizontal="right"/>
    </xf>
    <xf numFmtId="174" fontId="40" fillId="31" borderId="3" xfId="2" applyNumberFormat="1" applyFont="1" applyFill="1" applyBorder="1" applyAlignment="1" applyProtection="1">
      <alignment horizontal="center"/>
      <protection locked="0"/>
    </xf>
    <xf numFmtId="174" fontId="41" fillId="31" borderId="3" xfId="2" applyNumberFormat="1" applyFont="1" applyFill="1" applyBorder="1" applyAlignment="1" applyProtection="1">
      <alignment horizontal="center"/>
      <protection locked="0"/>
    </xf>
    <xf numFmtId="175" fontId="38" fillId="30" borderId="0" xfId="2" applyNumberFormat="1" applyFont="1" applyFill="1"/>
    <xf numFmtId="9" fontId="36" fillId="31" borderId="3" xfId="4" applyNumberFormat="1" applyFont="1" applyFill="1" applyBorder="1" applyProtection="1">
      <protection locked="0"/>
    </xf>
    <xf numFmtId="165" fontId="3" fillId="0" borderId="0" xfId="2" applyProtection="1">
      <protection locked="0"/>
    </xf>
    <xf numFmtId="173" fontId="17" fillId="14" borderId="1" xfId="2" applyNumberFormat="1" applyFont="1" applyFill="1" applyBorder="1" applyAlignment="1">
      <alignment vertical="center" wrapText="1"/>
    </xf>
    <xf numFmtId="173" fontId="10" fillId="0" borderId="1" xfId="2" applyNumberFormat="1" applyFont="1" applyBorder="1" applyAlignment="1">
      <alignment vertical="center" wrapText="1"/>
    </xf>
    <xf numFmtId="3" fontId="0" fillId="0" borderId="1" xfId="0" applyNumberFormat="1" applyBorder="1"/>
    <xf numFmtId="4" fontId="0" fillId="0" borderId="0" xfId="0" applyNumberFormat="1"/>
    <xf numFmtId="165" fontId="10" fillId="0" borderId="0" xfId="2" applyFont="1" applyAlignment="1">
      <alignment wrapText="1"/>
    </xf>
    <xf numFmtId="169" fontId="8" fillId="0" borderId="9" xfId="2" applyNumberFormat="1" applyFont="1" applyBorder="1" applyAlignment="1">
      <alignment horizontal="center" vertical="center"/>
    </xf>
    <xf numFmtId="169" fontId="8" fillId="0" borderId="0" xfId="2" applyNumberFormat="1" applyFont="1" applyAlignment="1">
      <alignment horizontal="center" vertical="center"/>
    </xf>
    <xf numFmtId="165" fontId="20" fillId="0" borderId="0" xfId="2" applyFont="1" applyAlignment="1">
      <alignment horizontal="center" vertical="center" wrapText="1"/>
    </xf>
    <xf numFmtId="173" fontId="42" fillId="0" borderId="0" xfId="2" applyNumberFormat="1" applyFont="1"/>
    <xf numFmtId="0" fontId="26" fillId="0" borderId="0" xfId="0" applyFont="1"/>
    <xf numFmtId="0" fontId="0" fillId="0" borderId="0" xfId="0" applyAlignment="1">
      <alignment horizontal="left"/>
    </xf>
    <xf numFmtId="173" fontId="30" fillId="0" borderId="3" xfId="3" applyNumberFormat="1" applyFont="1" applyBorder="1" applyAlignment="1">
      <alignment vertical="center"/>
    </xf>
    <xf numFmtId="173" fontId="10" fillId="0" borderId="1" xfId="3" applyNumberFormat="1" applyFont="1" applyBorder="1" applyAlignment="1">
      <alignment vertical="center"/>
    </xf>
    <xf numFmtId="172" fontId="30" fillId="0" borderId="1" xfId="3" applyNumberFormat="1" applyFont="1" applyBorder="1" applyAlignment="1">
      <alignment vertical="center"/>
    </xf>
    <xf numFmtId="173" fontId="30" fillId="0" borderId="1" xfId="3" applyNumberFormat="1" applyFont="1" applyBorder="1" applyAlignment="1">
      <alignment vertical="center"/>
    </xf>
    <xf numFmtId="173" fontId="10" fillId="0" borderId="3" xfId="3" applyNumberFormat="1" applyFont="1" applyBorder="1" applyAlignment="1">
      <alignment vertical="center"/>
    </xf>
    <xf numFmtId="1" fontId="12" fillId="0" borderId="1" xfId="0" applyNumberFormat="1" applyFont="1" applyBorder="1" applyAlignment="1">
      <alignment horizontal="center" vertical="center"/>
    </xf>
    <xf numFmtId="0" fontId="13" fillId="0" borderId="1" xfId="0" applyFont="1" applyBorder="1" applyAlignment="1">
      <alignment horizontal="center"/>
    </xf>
    <xf numFmtId="0" fontId="14" fillId="19" borderId="1" xfId="0" applyFont="1" applyFill="1" applyBorder="1" applyAlignment="1">
      <alignment vertical="center"/>
    </xf>
    <xf numFmtId="2" fontId="12" fillId="19" borderId="1" xfId="5" applyNumberFormat="1" applyFont="1" applyFill="1" applyBorder="1" applyAlignment="1">
      <alignment vertical="center"/>
    </xf>
    <xf numFmtId="0" fontId="13" fillId="0" borderId="1" xfId="0" applyFont="1" applyBorder="1" applyAlignment="1">
      <alignment vertical="center"/>
    </xf>
    <xf numFmtId="2" fontId="13" fillId="0" borderId="1" xfId="5" applyNumberFormat="1" applyFont="1" applyBorder="1" applyAlignment="1">
      <alignment vertical="center"/>
    </xf>
    <xf numFmtId="0" fontId="0" fillId="0" borderId="1" xfId="0" applyBorder="1" applyAlignment="1">
      <alignment vertical="center"/>
    </xf>
    <xf numFmtId="2" fontId="13" fillId="26" borderId="1" xfId="5" applyNumberFormat="1" applyFont="1" applyFill="1" applyBorder="1" applyAlignment="1">
      <alignment vertical="center"/>
    </xf>
    <xf numFmtId="0" fontId="13" fillId="0" borderId="1" xfId="0" applyFont="1" applyBorder="1" applyAlignment="1">
      <alignment vertical="center" wrapText="1"/>
    </xf>
    <xf numFmtId="0" fontId="14" fillId="19" borderId="1" xfId="0" applyFont="1" applyFill="1" applyBorder="1" applyAlignment="1">
      <alignment horizontal="left" vertical="center"/>
    </xf>
    <xf numFmtId="0" fontId="0" fillId="0" borderId="0" xfId="0" applyAlignment="1">
      <alignment horizontal="center" vertical="center" wrapText="1"/>
    </xf>
    <xf numFmtId="172" fontId="0" fillId="34" borderId="1" xfId="0" applyNumberFormat="1" applyFill="1" applyBorder="1" applyAlignment="1">
      <alignment vertical="center"/>
    </xf>
    <xf numFmtId="173" fontId="10" fillId="0" borderId="0" xfId="2" applyNumberFormat="1" applyFont="1" applyAlignment="1">
      <alignment horizontal="left"/>
    </xf>
    <xf numFmtId="0" fontId="9" fillId="0" borderId="82" xfId="0" applyFont="1" applyBorder="1"/>
    <xf numFmtId="0" fontId="0" fillId="0" borderId="83" xfId="0" applyBorder="1"/>
    <xf numFmtId="0" fontId="0" fillId="0" borderId="84" xfId="0" applyBorder="1"/>
    <xf numFmtId="0" fontId="28" fillId="0" borderId="76" xfId="0" applyFont="1" applyBorder="1"/>
    <xf numFmtId="176" fontId="0" fillId="27" borderId="1" xfId="0" applyNumberFormat="1" applyFill="1" applyBorder="1" applyAlignment="1" applyProtection="1">
      <alignment vertical="center"/>
      <protection locked="0"/>
    </xf>
    <xf numFmtId="2" fontId="13" fillId="0" borderId="1" xfId="5" applyNumberFormat="1" applyFont="1" applyBorder="1" applyAlignment="1" applyProtection="1">
      <alignment vertical="center"/>
      <protection locked="0"/>
    </xf>
    <xf numFmtId="1" fontId="12" fillId="19" borderId="1" xfId="5" applyNumberFormat="1" applyFont="1" applyFill="1" applyBorder="1" applyAlignment="1">
      <alignment vertical="center"/>
    </xf>
    <xf numFmtId="0" fontId="2" fillId="9" borderId="12" xfId="0" applyFont="1" applyFill="1" applyBorder="1" applyAlignment="1">
      <alignment horizontal="center"/>
    </xf>
    <xf numFmtId="0" fontId="2" fillId="9" borderId="1" xfId="0" applyFont="1" applyFill="1" applyBorder="1" applyAlignment="1">
      <alignment horizontal="center"/>
    </xf>
    <xf numFmtId="2" fontId="0" fillId="27" borderId="47" xfId="0" quotePrefix="1" applyNumberFormat="1" applyFill="1" applyBorder="1"/>
    <xf numFmtId="10" fontId="0" fillId="27" borderId="49" xfId="1" applyNumberFormat="1" applyFont="1" applyFill="1" applyBorder="1" applyProtection="1"/>
    <xf numFmtId="2" fontId="2" fillId="27" borderId="47" xfId="0" applyNumberFormat="1" applyFont="1" applyFill="1" applyBorder="1"/>
    <xf numFmtId="10" fontId="2" fillId="27" borderId="49" xfId="1" applyNumberFormat="1" applyFont="1" applyFill="1" applyBorder="1" applyProtection="1"/>
    <xf numFmtId="173" fontId="2" fillId="0" borderId="40" xfId="0" applyNumberFormat="1" applyFont="1" applyBorder="1" applyAlignment="1">
      <alignment horizontal="center" vertical="center"/>
    </xf>
    <xf numFmtId="10" fontId="2" fillId="0" borderId="40" xfId="1" applyNumberFormat="1" applyFont="1" applyBorder="1" applyAlignment="1" applyProtection="1">
      <alignment horizontal="center" vertical="center"/>
    </xf>
    <xf numFmtId="173" fontId="2" fillId="0" borderId="22" xfId="0" applyNumberFormat="1" applyFont="1" applyBorder="1" applyAlignment="1">
      <alignment horizontal="center" vertical="center"/>
    </xf>
    <xf numFmtId="10" fontId="2" fillId="0" borderId="22" xfId="1" applyNumberFormat="1" applyFont="1" applyBorder="1" applyAlignment="1" applyProtection="1">
      <alignment horizontal="center" vertical="center"/>
    </xf>
    <xf numFmtId="173" fontId="2" fillId="0" borderId="7" xfId="0" applyNumberFormat="1" applyFont="1" applyBorder="1" applyAlignment="1">
      <alignment horizontal="center" vertical="center"/>
    </xf>
    <xf numFmtId="10" fontId="2" fillId="0" borderId="7" xfId="1" applyNumberFormat="1" applyFont="1" applyBorder="1" applyAlignment="1" applyProtection="1">
      <alignment horizontal="center" vertical="center"/>
    </xf>
    <xf numFmtId="2" fontId="0" fillId="0" borderId="1" xfId="1" applyNumberFormat="1" applyFont="1" applyFill="1" applyBorder="1" applyProtection="1"/>
    <xf numFmtId="0" fontId="21" fillId="0" borderId="0" xfId="0" applyFont="1" applyAlignment="1">
      <alignment horizontal="right" vertical="center"/>
    </xf>
    <xf numFmtId="10" fontId="21" fillId="0" borderId="0" xfId="0" applyNumberFormat="1" applyFont="1" applyAlignment="1">
      <alignment horizontal="center" vertical="center"/>
    </xf>
    <xf numFmtId="2" fontId="0" fillId="0" borderId="0" xfId="0" applyNumberFormat="1" applyAlignment="1">
      <alignment horizontal="center"/>
    </xf>
    <xf numFmtId="0" fontId="2" fillId="0" borderId="0" xfId="0" applyFont="1" applyAlignment="1">
      <alignment horizontal="center"/>
    </xf>
    <xf numFmtId="10" fontId="0" fillId="0" borderId="60" xfId="1" applyNumberFormat="1" applyFont="1" applyFill="1" applyBorder="1" applyProtection="1"/>
    <xf numFmtId="165" fontId="32" fillId="25" borderId="1" xfId="2" applyFont="1" applyFill="1" applyBorder="1" applyAlignment="1">
      <alignment horizontal="center" vertical="center" wrapText="1"/>
    </xf>
    <xf numFmtId="165" fontId="32" fillId="0" borderId="0" xfId="2" applyFont="1" applyAlignment="1">
      <alignment horizontal="center" vertical="center" wrapText="1"/>
    </xf>
    <xf numFmtId="173" fontId="10" fillId="0" borderId="0" xfId="3" applyNumberFormat="1" applyFont="1" applyAlignment="1">
      <alignment vertical="center"/>
    </xf>
    <xf numFmtId="173" fontId="0" fillId="0" borderId="0" xfId="3" applyNumberFormat="1" applyFont="1" applyAlignment="1">
      <alignment vertical="center"/>
    </xf>
    <xf numFmtId="4" fontId="10" fillId="0" borderId="0" xfId="3" applyNumberFormat="1" applyFont="1" applyAlignment="1">
      <alignment vertical="center"/>
    </xf>
    <xf numFmtId="0" fontId="32" fillId="25" borderId="84" xfId="0" applyFont="1" applyFill="1" applyBorder="1" applyAlignment="1">
      <alignment horizontal="center"/>
    </xf>
    <xf numFmtId="2" fontId="0" fillId="0" borderId="0" xfId="0" applyNumberFormat="1"/>
    <xf numFmtId="173" fontId="0" fillId="0" borderId="0" xfId="0" quotePrefix="1" applyNumberFormat="1"/>
    <xf numFmtId="0" fontId="0" fillId="0" borderId="1" xfId="0" applyBorder="1" applyAlignment="1">
      <alignment horizontal="left"/>
    </xf>
    <xf numFmtId="0" fontId="0" fillId="0" borderId="0" xfId="0" applyAlignment="1">
      <alignment horizontal="right" vertical="center"/>
    </xf>
    <xf numFmtId="165" fontId="30" fillId="0" borderId="0" xfId="2" applyFont="1" applyAlignment="1">
      <alignment horizontal="left" vertical="center" wrapText="1"/>
    </xf>
    <xf numFmtId="165" fontId="29" fillId="0" borderId="0" xfId="2" applyFont="1" applyAlignment="1">
      <alignment horizontal="center" vertical="center" wrapText="1"/>
    </xf>
    <xf numFmtId="2" fontId="29" fillId="0" borderId="0" xfId="3" applyNumberFormat="1" applyFont="1" applyAlignment="1" applyProtection="1">
      <alignment vertical="center" wrapText="1"/>
      <protection locked="0"/>
    </xf>
    <xf numFmtId="2" fontId="25" fillId="0" borderId="0" xfId="0" applyNumberFormat="1" applyFont="1" applyAlignment="1">
      <alignment vertical="center"/>
    </xf>
    <xf numFmtId="173" fontId="29" fillId="0" borderId="0" xfId="3" applyNumberFormat="1" applyFont="1" applyAlignment="1" applyProtection="1">
      <alignment vertical="center" wrapText="1"/>
      <protection locked="0"/>
    </xf>
    <xf numFmtId="2" fontId="25" fillId="0" borderId="0" xfId="0" applyNumberFormat="1" applyFont="1" applyAlignment="1" applyProtection="1">
      <alignment vertical="center"/>
      <protection locked="0"/>
    </xf>
    <xf numFmtId="0" fontId="43" fillId="0" borderId="0" xfId="0" applyFont="1"/>
    <xf numFmtId="2" fontId="43" fillId="0" borderId="0" xfId="0" applyNumberFormat="1" applyFont="1"/>
    <xf numFmtId="0" fontId="44" fillId="0" borderId="0" xfId="0" applyFont="1"/>
    <xf numFmtId="0" fontId="45" fillId="0" borderId="0" xfId="0" applyFont="1" applyAlignment="1">
      <alignment horizontal="center"/>
    </xf>
    <xf numFmtId="173" fontId="26" fillId="0" borderId="0" xfId="0" quotePrefix="1" applyNumberFormat="1" applyFont="1"/>
    <xf numFmtId="0" fontId="43" fillId="0" borderId="75" xfId="0" applyFont="1" applyBorder="1"/>
    <xf numFmtId="0" fontId="46" fillId="0" borderId="0" xfId="0" applyFont="1"/>
    <xf numFmtId="173" fontId="17" fillId="0" borderId="0" xfId="2" applyNumberFormat="1" applyFont="1" applyAlignment="1">
      <alignment horizontal="left"/>
    </xf>
    <xf numFmtId="165" fontId="42" fillId="0" borderId="0" xfId="2" applyFont="1" applyAlignment="1">
      <alignment horizontal="right" vertical="center"/>
    </xf>
    <xf numFmtId="4" fontId="10" fillId="35" borderId="1" xfId="3" applyNumberFormat="1" applyFont="1" applyFill="1" applyBorder="1" applyAlignment="1">
      <alignment vertical="center"/>
    </xf>
    <xf numFmtId="165" fontId="30" fillId="5" borderId="3" xfId="2" applyFont="1" applyFill="1" applyBorder="1" applyAlignment="1" applyProtection="1">
      <alignment horizontal="left" vertical="center"/>
      <protection locked="0"/>
    </xf>
    <xf numFmtId="10" fontId="43" fillId="0" borderId="0" xfId="1" applyNumberFormat="1" applyFont="1" applyFill="1" applyBorder="1" applyProtection="1"/>
    <xf numFmtId="10" fontId="44" fillId="0" borderId="0" xfId="1" applyNumberFormat="1" applyFont="1" applyFill="1" applyBorder="1" applyProtection="1"/>
    <xf numFmtId="173" fontId="43" fillId="0" borderId="0" xfId="0" applyNumberFormat="1" applyFont="1"/>
    <xf numFmtId="10" fontId="43" fillId="0" borderId="75" xfId="0" applyNumberFormat="1" applyFont="1" applyBorder="1"/>
    <xf numFmtId="2" fontId="43" fillId="0" borderId="75" xfId="0" applyNumberFormat="1" applyFont="1" applyBorder="1"/>
    <xf numFmtId="0" fontId="43" fillId="0" borderId="75" xfId="0" quotePrefix="1" applyFont="1" applyBorder="1"/>
    <xf numFmtId="0" fontId="0" fillId="0" borderId="1" xfId="0" applyBorder="1" applyAlignment="1">
      <alignment horizontal="center" vertical="center"/>
    </xf>
    <xf numFmtId="0" fontId="13" fillId="0" borderId="1" xfId="0" applyFont="1" applyBorder="1"/>
    <xf numFmtId="165" fontId="48" fillId="0" borderId="0" xfId="2" applyFont="1" applyAlignment="1">
      <alignment horizontal="center"/>
    </xf>
    <xf numFmtId="165" fontId="48" fillId="0" borderId="0" xfId="2" applyFont="1"/>
    <xf numFmtId="0" fontId="4" fillId="0" borderId="0" xfId="6" applyFont="1" applyAlignment="1">
      <alignment horizontal="left" wrapText="1"/>
    </xf>
    <xf numFmtId="0" fontId="4" fillId="0" borderId="0" xfId="6" applyFont="1" applyAlignment="1">
      <alignment horizontal="left" vertical="center" wrapText="1"/>
    </xf>
    <xf numFmtId="165" fontId="48" fillId="0" borderId="0" xfId="2" applyFont="1" applyAlignment="1">
      <alignment horizontal="center" vertical="center"/>
    </xf>
    <xf numFmtId="0" fontId="4" fillId="22" borderId="90" xfId="6" applyFont="1" applyFill="1" applyBorder="1" applyAlignment="1">
      <alignment horizontal="center" vertical="center" wrapText="1"/>
    </xf>
    <xf numFmtId="0" fontId="4" fillId="0" borderId="90" xfId="6" applyFont="1" applyBorder="1" applyAlignment="1">
      <alignment horizontal="center" vertical="center" wrapText="1"/>
    </xf>
    <xf numFmtId="0" fontId="4" fillId="37" borderId="90" xfId="6" applyFont="1" applyFill="1" applyBorder="1" applyAlignment="1">
      <alignment horizontal="center" vertical="center" wrapText="1"/>
    </xf>
    <xf numFmtId="0" fontId="4" fillId="37" borderId="90" xfId="6" applyFont="1" applyFill="1" applyBorder="1" applyAlignment="1">
      <alignment horizontal="right" vertical="center" wrapText="1"/>
    </xf>
    <xf numFmtId="165" fontId="48" fillId="0" borderId="0" xfId="2" applyFont="1" applyAlignment="1">
      <alignment vertical="center" wrapText="1"/>
    </xf>
    <xf numFmtId="0" fontId="4" fillId="38" borderId="0" xfId="6" applyFont="1" applyFill="1" applyAlignment="1">
      <alignment horizontal="left" wrapText="1"/>
    </xf>
    <xf numFmtId="0" fontId="52" fillId="0" borderId="90" xfId="6" applyFont="1" applyBorder="1" applyAlignment="1">
      <alignment horizontal="center" vertical="center" wrapText="1"/>
    </xf>
    <xf numFmtId="0" fontId="4" fillId="36" borderId="88" xfId="6" applyFont="1" applyFill="1" applyBorder="1" applyAlignment="1">
      <alignment horizontal="left" vertical="center" wrapText="1"/>
    </xf>
    <xf numFmtId="0" fontId="4" fillId="36" borderId="89" xfId="6" applyFont="1" applyFill="1" applyBorder="1" applyAlignment="1">
      <alignment horizontal="left" vertical="center" wrapText="1"/>
    </xf>
    <xf numFmtId="0" fontId="4" fillId="39" borderId="90" xfId="6" applyFont="1" applyFill="1" applyBorder="1" applyAlignment="1" applyProtection="1">
      <alignment horizontal="right" vertical="center" wrapText="1"/>
      <protection locked="0"/>
    </xf>
    <xf numFmtId="0" fontId="4" fillId="36" borderId="91" xfId="6" applyFont="1" applyFill="1" applyBorder="1" applyAlignment="1">
      <alignment horizontal="left" vertical="center" wrapText="1"/>
    </xf>
    <xf numFmtId="0" fontId="4" fillId="39" borderId="88" xfId="6" applyFont="1" applyFill="1" applyBorder="1" applyAlignment="1" applyProtection="1">
      <alignment horizontal="right" vertical="center" wrapText="1"/>
      <protection locked="0"/>
    </xf>
    <xf numFmtId="0" fontId="4" fillId="39" borderId="0" xfId="6" applyFont="1" applyFill="1" applyAlignment="1" applyProtection="1">
      <alignment horizontal="right" vertical="center" wrapText="1"/>
      <protection locked="0"/>
    </xf>
    <xf numFmtId="0" fontId="4" fillId="37" borderId="88" xfId="6" applyFont="1" applyFill="1" applyBorder="1" applyAlignment="1">
      <alignment horizontal="left" vertical="center" wrapText="1"/>
    </xf>
    <xf numFmtId="0" fontId="4" fillId="37" borderId="89" xfId="6" applyFont="1" applyFill="1" applyBorder="1" applyAlignment="1">
      <alignment horizontal="left" vertical="center" wrapText="1"/>
    </xf>
    <xf numFmtId="0" fontId="4" fillId="38" borderId="0" xfId="6" applyFont="1" applyFill="1" applyAlignment="1">
      <alignment horizontal="right" wrapText="1"/>
    </xf>
    <xf numFmtId="0" fontId="33" fillId="25" borderId="32" xfId="0" applyFont="1" applyFill="1" applyBorder="1" applyAlignment="1">
      <alignment horizontal="center" vertical="center"/>
    </xf>
    <xf numFmtId="4" fontId="0" fillId="0" borderId="12" xfId="0" applyNumberFormat="1" applyBorder="1" applyAlignment="1">
      <alignment vertical="center"/>
    </xf>
    <xf numFmtId="2" fontId="0" fillId="0" borderId="12" xfId="0" applyNumberFormat="1" applyBorder="1"/>
    <xf numFmtId="2" fontId="2" fillId="0" borderId="12" xfId="0" applyNumberFormat="1" applyFont="1" applyBorder="1"/>
    <xf numFmtId="0" fontId="33" fillId="25" borderId="92" xfId="0" applyFont="1" applyFill="1" applyBorder="1" applyAlignment="1">
      <alignment horizontal="center" vertical="center"/>
    </xf>
    <xf numFmtId="2" fontId="0" fillId="0" borderId="95" xfId="0" applyNumberFormat="1" applyBorder="1" applyAlignment="1">
      <alignment horizontal="center" vertical="center"/>
    </xf>
    <xf numFmtId="173" fontId="2" fillId="0" borderId="0" xfId="0" applyNumberFormat="1" applyFont="1"/>
    <xf numFmtId="2" fontId="0" fillId="36" borderId="27" xfId="0" applyNumberFormat="1" applyFill="1" applyBorder="1"/>
    <xf numFmtId="2" fontId="0" fillId="36" borderId="56" xfId="0" applyNumberFormat="1" applyFill="1" applyBorder="1"/>
    <xf numFmtId="2" fontId="0" fillId="36" borderId="58" xfId="0" applyNumberFormat="1" applyFill="1" applyBorder="1"/>
    <xf numFmtId="2" fontId="0" fillId="36" borderId="60" xfId="0" applyNumberFormat="1" applyFill="1" applyBorder="1"/>
    <xf numFmtId="0" fontId="15" fillId="0" borderId="0" xfId="0" applyFont="1"/>
    <xf numFmtId="4" fontId="2" fillId="0" borderId="93" xfId="0" applyNumberFormat="1" applyFont="1" applyBorder="1" applyAlignment="1">
      <alignment horizontal="center" vertical="center"/>
    </xf>
    <xf numFmtId="2" fontId="2" fillId="0" borderId="93" xfId="0" applyNumberFormat="1" applyFont="1"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165" fontId="7" fillId="3" borderId="12" xfId="2" applyFont="1" applyFill="1" applyBorder="1" applyAlignment="1">
      <alignment horizontal="center" vertical="center"/>
    </xf>
    <xf numFmtId="165" fontId="7" fillId="3" borderId="22" xfId="2" applyFont="1" applyFill="1" applyBorder="1" applyAlignment="1">
      <alignment horizontal="center" vertical="center"/>
    </xf>
    <xf numFmtId="165" fontId="7" fillId="3" borderId="23" xfId="2" applyFont="1" applyFill="1" applyBorder="1" applyAlignment="1">
      <alignment horizontal="center" vertical="center"/>
    </xf>
    <xf numFmtId="2" fontId="0" fillId="40" borderId="26" xfId="0" applyNumberFormat="1" applyFill="1" applyBorder="1"/>
    <xf numFmtId="2" fontId="0" fillId="40" borderId="27" xfId="0" applyNumberFormat="1" applyFill="1" applyBorder="1"/>
    <xf numFmtId="2" fontId="0" fillId="41" borderId="27" xfId="0" applyNumberFormat="1" applyFill="1" applyBorder="1"/>
    <xf numFmtId="2" fontId="0" fillId="40" borderId="1" xfId="0" applyNumberFormat="1" applyFill="1" applyBorder="1"/>
    <xf numFmtId="2" fontId="0" fillId="40" borderId="56" xfId="0" applyNumberFormat="1" applyFill="1" applyBorder="1"/>
    <xf numFmtId="2" fontId="0" fillId="41" borderId="56" xfId="0" applyNumberFormat="1" applyFill="1" applyBorder="1"/>
    <xf numFmtId="2" fontId="0" fillId="40" borderId="42" xfId="0" applyNumberFormat="1" applyFill="1" applyBorder="1"/>
    <xf numFmtId="2" fontId="0" fillId="40" borderId="58" xfId="0" applyNumberFormat="1" applyFill="1" applyBorder="1"/>
    <xf numFmtId="2" fontId="0" fillId="41" borderId="58" xfId="0" applyNumberFormat="1" applyFill="1" applyBorder="1"/>
    <xf numFmtId="2" fontId="0" fillId="40" borderId="59" xfId="0" applyNumberFormat="1" applyFill="1" applyBorder="1"/>
    <xf numFmtId="2" fontId="0" fillId="40" borderId="60" xfId="0" applyNumberFormat="1" applyFill="1" applyBorder="1"/>
    <xf numFmtId="2" fontId="0" fillId="41" borderId="60" xfId="0" applyNumberFormat="1" applyFill="1" applyBorder="1"/>
    <xf numFmtId="2" fontId="0" fillId="0" borderId="23" xfId="0" applyNumberFormat="1" applyBorder="1"/>
    <xf numFmtId="0" fontId="0" fillId="2" borderId="12" xfId="0" applyFill="1" applyBorder="1" applyAlignment="1" applyProtection="1">
      <alignment horizontal="right"/>
      <protection locked="0"/>
    </xf>
    <xf numFmtId="0" fontId="0" fillId="2" borderId="37" xfId="0" applyFill="1" applyBorder="1" applyAlignment="1" applyProtection="1">
      <alignment horizontal="right"/>
      <protection locked="0"/>
    </xf>
    <xf numFmtId="0" fontId="0" fillId="2" borderId="33" xfId="0" applyFill="1" applyBorder="1" applyAlignment="1" applyProtection="1">
      <alignment horizontal="right"/>
      <protection locked="0"/>
    </xf>
    <xf numFmtId="0" fontId="0" fillId="2" borderId="39" xfId="0" applyFill="1" applyBorder="1" applyAlignment="1" applyProtection="1">
      <alignment horizontal="right"/>
      <protection locked="0"/>
    </xf>
    <xf numFmtId="0" fontId="0" fillId="2" borderId="35" xfId="0" applyFill="1" applyBorder="1" applyAlignment="1" applyProtection="1">
      <alignment horizontal="right"/>
      <protection locked="0"/>
    </xf>
    <xf numFmtId="0" fontId="0" fillId="2" borderId="31" xfId="0" applyFill="1" applyBorder="1" applyAlignment="1" applyProtection="1">
      <alignment horizontal="right"/>
      <protection locked="0"/>
    </xf>
    <xf numFmtId="0" fontId="0" fillId="2" borderId="23" xfId="0" applyFill="1" applyBorder="1" applyAlignment="1" applyProtection="1">
      <alignment horizontal="right"/>
      <protection locked="0"/>
    </xf>
    <xf numFmtId="0" fontId="0" fillId="2" borderId="36" xfId="0" applyFill="1" applyBorder="1" applyAlignment="1" applyProtection="1">
      <alignment horizontal="right"/>
      <protection locked="0"/>
    </xf>
    <xf numFmtId="0" fontId="0" fillId="0" borderId="32" xfId="0" applyBorder="1" applyAlignment="1">
      <alignment horizontal="center"/>
    </xf>
    <xf numFmtId="0" fontId="0" fillId="0" borderId="30" xfId="0" applyBorder="1" applyAlignment="1">
      <alignment horizontal="center"/>
    </xf>
    <xf numFmtId="0" fontId="0" fillId="0" borderId="38" xfId="0" applyBorder="1" applyAlignment="1">
      <alignment horizontal="center"/>
    </xf>
    <xf numFmtId="0" fontId="0" fillId="0" borderId="0" xfId="0" applyAlignment="1">
      <alignment horizontal="left" vertical="center" indent="1"/>
    </xf>
    <xf numFmtId="0" fontId="0" fillId="2" borderId="45" xfId="0" applyFill="1" applyBorder="1" applyProtection="1">
      <protection locked="0"/>
    </xf>
    <xf numFmtId="0" fontId="53" fillId="0" borderId="0" xfId="6" applyFont="1" applyAlignment="1">
      <alignment horizontal="center" vertical="center" wrapText="1"/>
    </xf>
    <xf numFmtId="0" fontId="4" fillId="0" borderId="0" xfId="6" applyFont="1" applyAlignment="1">
      <alignment horizontal="center" wrapText="1"/>
    </xf>
    <xf numFmtId="0" fontId="4" fillId="39" borderId="100" xfId="6" applyFont="1" applyFill="1" applyBorder="1" applyAlignment="1" applyProtection="1">
      <alignment horizontal="right" vertical="center" wrapText="1"/>
      <protection locked="0"/>
    </xf>
    <xf numFmtId="0" fontId="4" fillId="39" borderId="101" xfId="6" applyFont="1" applyFill="1" applyBorder="1" applyAlignment="1" applyProtection="1">
      <alignment horizontal="right" vertical="center" wrapText="1"/>
      <protection locked="0"/>
    </xf>
    <xf numFmtId="0" fontId="4" fillId="39" borderId="99" xfId="6" applyFont="1" applyFill="1" applyBorder="1" applyAlignment="1" applyProtection="1">
      <alignment horizontal="right" vertical="center" wrapText="1"/>
      <protection locked="0"/>
    </xf>
    <xf numFmtId="0" fontId="0" fillId="0" borderId="0" xfId="0" applyAlignment="1">
      <alignment horizontal="center"/>
    </xf>
    <xf numFmtId="0" fontId="0" fillId="0" borderId="79" xfId="0" applyBorder="1"/>
    <xf numFmtId="0" fontId="0" fillId="0" borderId="78" xfId="0" applyBorder="1"/>
    <xf numFmtId="0" fontId="0" fillId="0" borderId="77" xfId="0" applyBorder="1"/>
    <xf numFmtId="0" fontId="8" fillId="0" borderId="0" xfId="0" applyFont="1" applyAlignment="1">
      <alignment horizontal="center"/>
    </xf>
    <xf numFmtId="0" fontId="0" fillId="0" borderId="75" xfId="0" applyBorder="1" applyAlignment="1">
      <alignment horizontal="center"/>
    </xf>
    <xf numFmtId="0" fontId="0" fillId="0" borderId="76" xfId="0" applyBorder="1" applyAlignment="1">
      <alignment horizontal="center"/>
    </xf>
    <xf numFmtId="0" fontId="55" fillId="0" borderId="0" xfId="0" applyFont="1"/>
    <xf numFmtId="2" fontId="2" fillId="42" borderId="99" xfId="0" applyNumberFormat="1" applyFont="1" applyFill="1" applyBorder="1" applyAlignment="1">
      <alignment horizontal="center"/>
    </xf>
    <xf numFmtId="2" fontId="0" fillId="0" borderId="0" xfId="0" applyNumberFormat="1" applyAlignment="1">
      <alignment horizontal="left"/>
    </xf>
    <xf numFmtId="0" fontId="13" fillId="0" borderId="0" xfId="0" applyFont="1" applyAlignment="1">
      <alignment horizontal="left"/>
    </xf>
    <xf numFmtId="2" fontId="5" fillId="0" borderId="0" xfId="6" applyNumberFormat="1"/>
    <xf numFmtId="0" fontId="2" fillId="0" borderId="0" xfId="6" applyFont="1" applyAlignment="1">
      <alignment horizontal="right" indent="1"/>
    </xf>
    <xf numFmtId="0" fontId="1" fillId="0" borderId="0" xfId="6" applyFont="1" applyAlignment="1">
      <alignment horizontal="left" wrapText="1"/>
    </xf>
    <xf numFmtId="0" fontId="13" fillId="0" borderId="0" xfId="6" applyFont="1" applyAlignment="1">
      <alignment horizontal="left" wrapText="1"/>
    </xf>
    <xf numFmtId="2" fontId="2" fillId="0" borderId="0" xfId="0" applyNumberFormat="1" applyFont="1" applyAlignment="1">
      <alignment horizontal="center"/>
    </xf>
    <xf numFmtId="0" fontId="0" fillId="0" borderId="0" xfId="6" applyFont="1" applyAlignment="1">
      <alignment horizontal="left"/>
    </xf>
    <xf numFmtId="0" fontId="14" fillId="0" borderId="0" xfId="6" applyFont="1" applyAlignment="1">
      <alignment horizontal="left" wrapText="1"/>
    </xf>
    <xf numFmtId="2" fontId="14" fillId="42" borderId="0" xfId="6" applyNumberFormat="1" applyFont="1" applyFill="1" applyAlignment="1">
      <alignment horizontal="center"/>
    </xf>
    <xf numFmtId="2" fontId="2" fillId="42" borderId="0" xfId="6" applyNumberFormat="1" applyFont="1" applyFill="1" applyAlignment="1">
      <alignment horizontal="center"/>
    </xf>
    <xf numFmtId="2" fontId="14" fillId="42" borderId="99" xfId="6" applyNumberFormat="1" applyFont="1" applyFill="1" applyBorder="1" applyAlignment="1">
      <alignment horizontal="center"/>
    </xf>
    <xf numFmtId="0" fontId="2" fillId="0" borderId="0" xfId="6" applyFont="1" applyAlignment="1">
      <alignment vertical="top" wrapText="1"/>
    </xf>
    <xf numFmtId="2" fontId="2" fillId="36" borderId="0" xfId="0" applyNumberFormat="1" applyFont="1" applyFill="1" applyAlignment="1">
      <alignment horizontal="center"/>
    </xf>
    <xf numFmtId="0" fontId="2" fillId="0" borderId="0" xfId="0" applyFont="1" applyAlignment="1">
      <alignment horizontal="right" indent="1"/>
    </xf>
    <xf numFmtId="2" fontId="0" fillId="0" borderId="99" xfId="0" applyNumberFormat="1" applyBorder="1"/>
    <xf numFmtId="0" fontId="2" fillId="0" borderId="0" xfId="0" applyFont="1" applyAlignment="1">
      <alignment vertical="top" wrapText="1"/>
    </xf>
    <xf numFmtId="0" fontId="57" fillId="0" borderId="0" xfId="0" applyFont="1" applyAlignment="1">
      <alignment horizontal="center" vertical="center" wrapText="1"/>
    </xf>
    <xf numFmtId="2" fontId="2" fillId="42" borderId="0" xfId="0" applyNumberFormat="1" applyFont="1" applyFill="1" applyAlignment="1">
      <alignment horizontal="center"/>
    </xf>
    <xf numFmtId="0" fontId="13" fillId="0" borderId="0" xfId="0" applyFont="1"/>
    <xf numFmtId="2" fontId="14" fillId="42" borderId="0" xfId="0" applyNumberFormat="1" applyFont="1" applyFill="1" applyAlignment="1">
      <alignment horizontal="center"/>
    </xf>
    <xf numFmtId="0" fontId="13" fillId="0" borderId="0" xfId="0" applyFont="1" applyAlignment="1">
      <alignment horizontal="right"/>
    </xf>
    <xf numFmtId="2" fontId="13" fillId="0" borderId="0" xfId="0" applyNumberFormat="1" applyFont="1"/>
    <xf numFmtId="0" fontId="13" fillId="0" borderId="0" xfId="0" quotePrefix="1" applyFont="1"/>
    <xf numFmtId="0" fontId="0" fillId="0" borderId="0" xfId="0" applyAlignment="1">
      <alignment horizontal="center" vertical="center"/>
    </xf>
    <xf numFmtId="0" fontId="14" fillId="0" borderId="0" xfId="0" applyFont="1"/>
    <xf numFmtId="0" fontId="58" fillId="0" borderId="0" xfId="0" quotePrefix="1" applyFont="1" applyAlignment="1">
      <alignment horizontal="right"/>
    </xf>
    <xf numFmtId="0" fontId="13" fillId="0" borderId="0" xfId="0" applyFont="1" applyAlignment="1">
      <alignment horizontal="center" vertical="center"/>
    </xf>
    <xf numFmtId="2" fontId="13" fillId="0" borderId="99" xfId="0" applyNumberFormat="1" applyFont="1" applyBorder="1"/>
    <xf numFmtId="0" fontId="0" fillId="0" borderId="99" xfId="0" applyBorder="1"/>
    <xf numFmtId="0" fontId="0" fillId="0" borderId="99" xfId="0" applyBorder="1" applyAlignment="1">
      <alignment horizontal="center" vertical="center"/>
    </xf>
    <xf numFmtId="4" fontId="13" fillId="0" borderId="1" xfId="0" applyNumberFormat="1" applyFont="1" applyBorder="1"/>
    <xf numFmtId="0" fontId="59" fillId="0" borderId="0" xfId="0" applyFont="1" applyAlignment="1">
      <alignment horizontal="justify" vertical="center"/>
    </xf>
    <xf numFmtId="0" fontId="8" fillId="0" borderId="0" xfId="0" applyFont="1"/>
    <xf numFmtId="0" fontId="60" fillId="0" borderId="0" xfId="0" applyFont="1" applyAlignment="1">
      <alignment horizontal="left" vertical="top" wrapText="1"/>
    </xf>
    <xf numFmtId="2" fontId="2" fillId="0" borderId="0" xfId="6" applyNumberFormat="1" applyFont="1" applyAlignment="1">
      <alignment horizontal="center"/>
    </xf>
    <xf numFmtId="2" fontId="61" fillId="9" borderId="0" xfId="6" applyNumberFormat="1" applyFont="1" applyFill="1" applyAlignment="1">
      <alignment horizontal="center"/>
    </xf>
    <xf numFmtId="2" fontId="14" fillId="9" borderId="99" xfId="6" applyNumberFormat="1" applyFont="1" applyFill="1" applyBorder="1" applyAlignment="1">
      <alignment horizontal="center"/>
    </xf>
    <xf numFmtId="0" fontId="13" fillId="0" borderId="0" xfId="0" applyFont="1" applyAlignment="1">
      <alignment horizontal="center"/>
    </xf>
    <xf numFmtId="2" fontId="14" fillId="36" borderId="0" xfId="0" applyNumberFormat="1" applyFont="1" applyFill="1" applyAlignment="1">
      <alignment horizontal="center"/>
    </xf>
    <xf numFmtId="2" fontId="14" fillId="42" borderId="99" xfId="0" applyNumberFormat="1" applyFont="1" applyFill="1" applyBorder="1" applyAlignment="1">
      <alignment horizontal="center"/>
    </xf>
    <xf numFmtId="2" fontId="14" fillId="43" borderId="99" xfId="0" applyNumberFormat="1" applyFont="1" applyFill="1" applyBorder="1" applyAlignment="1">
      <alignment horizontal="center"/>
    </xf>
    <xf numFmtId="0" fontId="14" fillId="0" borderId="0" xfId="0" applyFont="1" applyAlignment="1">
      <alignment horizontal="right" indent="1"/>
    </xf>
    <xf numFmtId="2" fontId="13" fillId="15" borderId="99" xfId="0" applyNumberFormat="1" applyFont="1" applyFill="1" applyBorder="1"/>
    <xf numFmtId="2" fontId="13" fillId="9" borderId="99" xfId="0" applyNumberFormat="1" applyFont="1" applyFill="1" applyBorder="1"/>
    <xf numFmtId="0" fontId="62" fillId="0" borderId="0" xfId="0" applyFont="1" applyAlignment="1">
      <alignment horizontal="center" vertical="center" wrapText="1"/>
    </xf>
    <xf numFmtId="0" fontId="14" fillId="0" borderId="0" xfId="0" applyFont="1" applyAlignment="1">
      <alignment vertical="top" wrapText="1"/>
    </xf>
    <xf numFmtId="0" fontId="13" fillId="0" borderId="79" xfId="0" applyFont="1" applyBorder="1"/>
    <xf numFmtId="0" fontId="13" fillId="0" borderId="78" xfId="0" applyFont="1" applyBorder="1"/>
    <xf numFmtId="0" fontId="10" fillId="0" borderId="78" xfId="0" applyFont="1" applyBorder="1"/>
    <xf numFmtId="0" fontId="13" fillId="0" borderId="75" xfId="0" applyFont="1" applyBorder="1"/>
    <xf numFmtId="0" fontId="10" fillId="0" borderId="0" xfId="0" applyFont="1"/>
    <xf numFmtId="0" fontId="13" fillId="0" borderId="84" xfId="0" applyFont="1" applyBorder="1"/>
    <xf numFmtId="0" fontId="13" fillId="0" borderId="83" xfId="0" applyFont="1" applyBorder="1"/>
    <xf numFmtId="0" fontId="10" fillId="0" borderId="82" xfId="0" applyFont="1" applyBorder="1"/>
    <xf numFmtId="0" fontId="13"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wrapText="1" indent="8"/>
    </xf>
    <xf numFmtId="0" fontId="13" fillId="0" borderId="0" xfId="0" applyFont="1" applyAlignment="1">
      <alignment wrapText="1"/>
    </xf>
    <xf numFmtId="0" fontId="14" fillId="0" borderId="0" xfId="0" applyFont="1" applyAlignment="1">
      <alignment horizontal="center" vertical="center" wrapText="1"/>
    </xf>
    <xf numFmtId="2" fontId="14" fillId="0" borderId="0" xfId="0" applyNumberFormat="1" applyFont="1" applyAlignment="1">
      <alignment horizontal="center"/>
    </xf>
    <xf numFmtId="0" fontId="13" fillId="0" borderId="0" xfId="0" applyFont="1" applyAlignment="1">
      <alignment horizontal="right" indent="2"/>
    </xf>
    <xf numFmtId="0" fontId="13" fillId="0" borderId="0" xfId="0" quotePrefix="1" applyFont="1" applyAlignment="1">
      <alignment horizontal="right" indent="2"/>
    </xf>
    <xf numFmtId="9" fontId="13" fillId="0" borderId="0" xfId="0" applyNumberFormat="1" applyFont="1" applyAlignment="1">
      <alignment horizontal="right"/>
    </xf>
    <xf numFmtId="0" fontId="2" fillId="0" borderId="0" xfId="0" applyFont="1" applyAlignment="1">
      <alignment vertical="center" wrapText="1"/>
    </xf>
    <xf numFmtId="0" fontId="13" fillId="0" borderId="99" xfId="0" applyFont="1" applyBorder="1"/>
    <xf numFmtId="0" fontId="13" fillId="0" borderId="99" xfId="0" applyFont="1" applyBorder="1" applyAlignment="1">
      <alignment horizontal="center" vertical="center"/>
    </xf>
    <xf numFmtId="4" fontId="13" fillId="0" borderId="99" xfId="0" applyNumberFormat="1" applyFont="1" applyBorder="1"/>
    <xf numFmtId="14" fontId="0" fillId="0" borderId="0" xfId="0" applyNumberFormat="1"/>
    <xf numFmtId="177" fontId="13" fillId="0" borderId="1" xfId="8" applyFont="1" applyBorder="1"/>
    <xf numFmtId="177" fontId="13" fillId="0" borderId="0" xfId="8" applyFont="1"/>
    <xf numFmtId="10" fontId="13" fillId="0" borderId="0" xfId="1" applyNumberFormat="1" applyFont="1"/>
    <xf numFmtId="0" fontId="13" fillId="45" borderId="11" xfId="0" applyFont="1" applyFill="1" applyBorder="1" applyAlignment="1">
      <alignment horizontal="center"/>
    </xf>
    <xf numFmtId="0" fontId="58" fillId="45" borderId="11" xfId="0" applyFont="1" applyFill="1" applyBorder="1" applyAlignment="1">
      <alignment horizontal="center"/>
    </xf>
    <xf numFmtId="4" fontId="13" fillId="0" borderId="0" xfId="0" applyNumberFormat="1" applyFont="1"/>
    <xf numFmtId="10" fontId="43" fillId="0" borderId="0" xfId="1" applyNumberFormat="1" applyFont="1"/>
    <xf numFmtId="0" fontId="43" fillId="0" borderId="0" xfId="0" applyFont="1" applyAlignment="1">
      <alignment horizontal="center"/>
    </xf>
    <xf numFmtId="4" fontId="13" fillId="0" borderId="0" xfId="0" applyNumberFormat="1" applyFont="1" applyAlignment="1">
      <alignment horizontal="center"/>
    </xf>
    <xf numFmtId="177" fontId="13" fillId="0" borderId="1" xfId="8" applyFont="1" applyBorder="1" applyAlignment="1">
      <alignment horizontal="center"/>
    </xf>
    <xf numFmtId="4" fontId="13" fillId="0" borderId="1" xfId="0" applyNumberFormat="1" applyFont="1" applyBorder="1" applyAlignment="1">
      <alignment horizontal="center"/>
    </xf>
    <xf numFmtId="10" fontId="13" fillId="0" borderId="0" xfId="1" applyNumberFormat="1" applyFont="1" applyAlignment="1">
      <alignment horizontal="center"/>
    </xf>
    <xf numFmtId="2" fontId="0" fillId="0" borderId="0" xfId="0" applyNumberFormat="1" applyAlignment="1">
      <alignment horizontal="right"/>
    </xf>
    <xf numFmtId="9" fontId="13" fillId="0" borderId="0" xfId="1" applyFont="1" applyAlignment="1">
      <alignment horizontal="center"/>
    </xf>
    <xf numFmtId="9" fontId="0" fillId="0" borderId="0" xfId="0" applyNumberFormat="1"/>
    <xf numFmtId="0" fontId="14" fillId="46" borderId="0" xfId="0" applyFont="1" applyFill="1" applyAlignment="1">
      <alignment horizontal="center"/>
    </xf>
    <xf numFmtId="16" fontId="0" fillId="0" borderId="0" xfId="0" quotePrefix="1" applyNumberFormat="1"/>
    <xf numFmtId="16" fontId="13" fillId="0" borderId="0" xfId="0" quotePrefix="1" applyNumberFormat="1" applyFont="1" applyAlignment="1">
      <alignment horizontal="center"/>
    </xf>
    <xf numFmtId="4" fontId="14" fillId="0" borderId="22" xfId="0" applyNumberFormat="1" applyFont="1" applyBorder="1" applyAlignment="1">
      <alignment horizontal="center"/>
    </xf>
    <xf numFmtId="0" fontId="14" fillId="0" borderId="22" xfId="0" applyFont="1" applyBorder="1" applyAlignment="1">
      <alignment horizontal="center"/>
    </xf>
    <xf numFmtId="2" fontId="13" fillId="0" borderId="0" xfId="8" applyNumberFormat="1" applyFont="1" applyAlignment="1">
      <alignment horizontal="center"/>
    </xf>
    <xf numFmtId="0" fontId="0" fillId="44" borderId="0" xfId="0" applyFill="1"/>
    <xf numFmtId="0" fontId="2" fillId="51" borderId="1" xfId="0" applyFont="1" applyFill="1" applyBorder="1"/>
    <xf numFmtId="44" fontId="0" fillId="0" borderId="1" xfId="9" applyFont="1" applyBorder="1"/>
    <xf numFmtId="0" fontId="2" fillId="36" borderId="0" xfId="0" applyFont="1" applyFill="1" applyAlignment="1">
      <alignment horizontal="left" wrapText="1"/>
    </xf>
    <xf numFmtId="0" fontId="2" fillId="34" borderId="1" xfId="0" applyFont="1" applyFill="1" applyBorder="1" applyAlignment="1">
      <alignment horizontal="center" wrapText="1"/>
    </xf>
    <xf numFmtId="44" fontId="2" fillId="51" borderId="1" xfId="9" applyFont="1" applyFill="1" applyBorder="1"/>
    <xf numFmtId="4" fontId="2" fillId="51" borderId="1" xfId="0" applyNumberFormat="1" applyFont="1" applyFill="1" applyBorder="1"/>
    <xf numFmtId="0" fontId="2" fillId="51" borderId="1" xfId="0" applyFont="1" applyFill="1" applyBorder="1" applyAlignment="1">
      <alignment horizontal="center"/>
    </xf>
    <xf numFmtId="0" fontId="2" fillId="0" borderId="1" xfId="0" applyFont="1" applyBorder="1"/>
    <xf numFmtId="0" fontId="2" fillId="51" borderId="1" xfId="0" applyFont="1" applyFill="1" applyBorder="1" applyAlignment="1">
      <alignment horizontal="left" wrapText="1"/>
    </xf>
    <xf numFmtId="0" fontId="2" fillId="0" borderId="0" xfId="0" applyFont="1" applyAlignment="1">
      <alignment wrapText="1"/>
    </xf>
    <xf numFmtId="0" fontId="2" fillId="34" borderId="23" xfId="0" applyFont="1" applyFill="1" applyBorder="1" applyAlignment="1">
      <alignment horizontal="left" wrapText="1"/>
    </xf>
    <xf numFmtId="0" fontId="2" fillId="34" borderId="22" xfId="0" applyFont="1" applyFill="1" applyBorder="1" applyAlignment="1">
      <alignment horizontal="left" wrapText="1"/>
    </xf>
    <xf numFmtId="0" fontId="2" fillId="34" borderId="12" xfId="0" applyFont="1" applyFill="1" applyBorder="1" applyAlignment="1">
      <alignment horizontal="left" wrapText="1"/>
    </xf>
    <xf numFmtId="0" fontId="2" fillId="51" borderId="1" xfId="0" applyFont="1" applyFill="1" applyBorder="1" applyAlignment="1">
      <alignment horizontal="left"/>
    </xf>
    <xf numFmtId="44" fontId="2" fillId="0" borderId="1" xfId="9" applyFont="1" applyBorder="1"/>
    <xf numFmtId="0" fontId="2" fillId="51" borderId="1" xfId="0" applyFont="1" applyFill="1" applyBorder="1" applyAlignment="1">
      <alignment wrapText="1"/>
    </xf>
    <xf numFmtId="0" fontId="2" fillId="26" borderId="1" xfId="0" applyFont="1" applyFill="1" applyBorder="1"/>
    <xf numFmtId="0" fontId="66" fillId="0" borderId="0" xfId="0" applyFont="1"/>
    <xf numFmtId="178" fontId="9" fillId="44" borderId="1" xfId="0" applyNumberFormat="1" applyFont="1" applyFill="1" applyBorder="1"/>
    <xf numFmtId="4" fontId="9" fillId="44" borderId="1" xfId="0" applyNumberFormat="1" applyFont="1" applyFill="1" applyBorder="1"/>
    <xf numFmtId="178" fontId="2" fillId="46" borderId="1" xfId="0" applyNumberFormat="1" applyFont="1" applyFill="1" applyBorder="1"/>
    <xf numFmtId="4" fontId="2" fillId="46" borderId="1" xfId="0" applyNumberFormat="1" applyFont="1" applyFill="1" applyBorder="1" applyAlignment="1">
      <alignment wrapText="1"/>
    </xf>
    <xf numFmtId="4" fontId="2" fillId="0" borderId="0" xfId="0" applyNumberFormat="1" applyFont="1"/>
    <xf numFmtId="0" fontId="25" fillId="0" borderId="0" xfId="0" applyFont="1"/>
    <xf numFmtId="178" fontId="2" fillId="51" borderId="1" xfId="0" applyNumberFormat="1" applyFont="1" applyFill="1" applyBorder="1"/>
    <xf numFmtId="4" fontId="2" fillId="51" borderId="1" xfId="0" applyNumberFormat="1" applyFont="1" applyFill="1" applyBorder="1" applyAlignment="1">
      <alignment horizontal="center"/>
    </xf>
    <xf numFmtId="165" fontId="0" fillId="0" borderId="45" xfId="2" applyFont="1" applyBorder="1" applyAlignment="1">
      <alignment horizontal="left" vertical="center" wrapText="1"/>
    </xf>
    <xf numFmtId="165" fontId="0" fillId="0" borderId="9" xfId="2" applyFont="1" applyBorder="1" applyAlignment="1">
      <alignment horizontal="left" vertical="center" wrapText="1"/>
    </xf>
    <xf numFmtId="165" fontId="0" fillId="0" borderId="8" xfId="2" applyFont="1" applyBorder="1" applyAlignment="1">
      <alignment horizontal="left" vertical="center" wrapText="1"/>
    </xf>
    <xf numFmtId="165" fontId="0" fillId="0" borderId="23" xfId="2" applyFont="1" applyBorder="1" applyAlignment="1">
      <alignment horizontal="left" vertical="center" wrapText="1"/>
    </xf>
    <xf numFmtId="165" fontId="0" fillId="0" borderId="22" xfId="2" applyFont="1" applyBorder="1" applyAlignment="1">
      <alignment horizontal="left" vertical="center" wrapText="1"/>
    </xf>
    <xf numFmtId="165" fontId="0" fillId="0" borderId="12" xfId="2" applyFont="1" applyBorder="1" applyAlignment="1">
      <alignment horizontal="left" vertical="center" wrapText="1"/>
    </xf>
    <xf numFmtId="4" fontId="2" fillId="0" borderId="1" xfId="0" applyNumberFormat="1" applyFont="1" applyBorder="1" applyAlignment="1">
      <alignment horizontal="center" wrapText="1"/>
    </xf>
    <xf numFmtId="4" fontId="2" fillId="0" borderId="1" xfId="0" applyNumberFormat="1" applyFont="1" applyBorder="1" applyAlignment="1">
      <alignment wrapText="1"/>
    </xf>
    <xf numFmtId="4" fontId="9" fillId="0" borderId="0" xfId="0" applyNumberFormat="1" applyFont="1"/>
    <xf numFmtId="173" fontId="2" fillId="12" borderId="16" xfId="2" applyNumberFormat="1" applyFont="1" applyFill="1" applyBorder="1" applyAlignment="1">
      <alignment horizontal="right" vertical="center"/>
    </xf>
    <xf numFmtId="173" fontId="2" fillId="52" borderId="16" xfId="2" applyNumberFormat="1" applyFont="1" applyFill="1" applyBorder="1" applyAlignment="1">
      <alignment horizontal="right" vertical="center"/>
    </xf>
    <xf numFmtId="173" fontId="2" fillId="52" borderId="15" xfId="2" applyNumberFormat="1" applyFont="1" applyFill="1" applyBorder="1" applyAlignment="1">
      <alignment horizontal="right" vertical="center"/>
    </xf>
    <xf numFmtId="165" fontId="9" fillId="15" borderId="6" xfId="2" applyFont="1" applyFill="1" applyBorder="1" applyAlignment="1">
      <alignment horizontal="left" vertical="center"/>
    </xf>
    <xf numFmtId="165" fontId="9" fillId="15" borderId="5" xfId="2" applyFont="1" applyFill="1" applyBorder="1" applyAlignment="1">
      <alignment horizontal="left" vertical="center"/>
    </xf>
    <xf numFmtId="165" fontId="9" fillId="15" borderId="2" xfId="2" applyFont="1" applyFill="1" applyBorder="1" applyAlignment="1">
      <alignment horizontal="left" vertical="center"/>
    </xf>
    <xf numFmtId="165" fontId="2" fillId="0" borderId="13" xfId="2" applyFont="1" applyBorder="1" applyAlignment="1">
      <alignment horizontal="center" vertical="center" wrapText="1"/>
    </xf>
    <xf numFmtId="165" fontId="2" fillId="0" borderId="19" xfId="2" applyFont="1" applyBorder="1" applyAlignment="1">
      <alignment horizontal="center" vertical="center" wrapText="1"/>
    </xf>
    <xf numFmtId="165" fontId="2" fillId="0" borderId="7" xfId="2" applyFont="1" applyBorder="1" applyAlignment="1">
      <alignment horizontal="center" vertical="center" wrapText="1"/>
    </xf>
    <xf numFmtId="165" fontId="2" fillId="0" borderId="17" xfId="2" applyFont="1" applyBorder="1" applyAlignment="1">
      <alignment horizontal="center" vertical="center" wrapText="1"/>
    </xf>
    <xf numFmtId="165" fontId="2" fillId="0" borderId="0" xfId="2" applyFont="1" applyAlignment="1">
      <alignment horizontal="center" vertical="center" wrapText="1"/>
    </xf>
    <xf numFmtId="165" fontId="2" fillId="0" borderId="21" xfId="2" applyFont="1" applyBorder="1" applyAlignment="1">
      <alignment horizontal="center" vertical="center" wrapText="1"/>
    </xf>
    <xf numFmtId="165" fontId="2" fillId="10" borderId="15" xfId="2" applyFont="1" applyFill="1" applyBorder="1" applyAlignment="1">
      <alignment horizontal="center" vertical="center" wrapText="1"/>
    </xf>
    <xf numFmtId="165" fontId="2" fillId="10" borderId="16" xfId="2" applyFont="1" applyFill="1" applyBorder="1" applyAlignment="1">
      <alignment horizontal="center" vertical="center" wrapText="1"/>
    </xf>
    <xf numFmtId="165" fontId="2" fillId="10" borderId="15" xfId="2" applyFont="1" applyFill="1" applyBorder="1" applyAlignment="1">
      <alignment horizontal="center" vertical="center"/>
    </xf>
    <xf numFmtId="165" fontId="2" fillId="10" borderId="7" xfId="2" applyFont="1" applyFill="1" applyBorder="1" applyAlignment="1">
      <alignment horizontal="center" vertical="center"/>
    </xf>
    <xf numFmtId="165" fontId="2" fillId="10" borderId="17" xfId="2" applyFont="1" applyFill="1" applyBorder="1" applyAlignment="1">
      <alignment horizontal="center" vertical="center"/>
    </xf>
    <xf numFmtId="165" fontId="22" fillId="9" borderId="1" xfId="2" applyFont="1" applyFill="1" applyBorder="1" applyAlignment="1">
      <alignment horizontal="center" vertical="center"/>
    </xf>
    <xf numFmtId="173" fontId="2" fillId="12" borderId="4" xfId="2" applyNumberFormat="1" applyFont="1" applyFill="1" applyBorder="1" applyAlignment="1">
      <alignment horizontal="right" vertical="center"/>
    </xf>
    <xf numFmtId="165" fontId="9" fillId="15" borderId="20" xfId="2" applyFont="1" applyFill="1" applyBorder="1" applyAlignment="1">
      <alignment horizontal="left" vertical="center"/>
    </xf>
    <xf numFmtId="165" fontId="9" fillId="15" borderId="13" xfId="2" applyFont="1" applyFill="1" applyBorder="1" applyAlignment="1">
      <alignment horizontal="left" vertical="center"/>
    </xf>
    <xf numFmtId="165" fontId="9" fillId="15" borderId="19" xfId="2" applyFont="1" applyFill="1" applyBorder="1" applyAlignment="1">
      <alignment horizontal="left" vertical="center"/>
    </xf>
    <xf numFmtId="4" fontId="67" fillId="9" borderId="7" xfId="2" applyNumberFormat="1" applyFont="1" applyFill="1" applyBorder="1" applyAlignment="1">
      <alignment horizontal="center" vertical="center"/>
    </xf>
    <xf numFmtId="2" fontId="15" fillId="36" borderId="23" xfId="0" applyNumberFormat="1" applyFont="1" applyFill="1" applyBorder="1" applyAlignment="1">
      <alignment horizontal="center" vertical="center" wrapText="1"/>
    </xf>
    <xf numFmtId="2" fontId="15" fillId="36" borderId="22" xfId="0" applyNumberFormat="1" applyFont="1" applyFill="1" applyBorder="1" applyAlignment="1">
      <alignment horizontal="center" vertical="center" wrapText="1"/>
    </xf>
    <xf numFmtId="1" fontId="15" fillId="36" borderId="22" xfId="0" applyNumberFormat="1" applyFont="1" applyFill="1" applyBorder="1" applyAlignment="1">
      <alignment horizontal="center" vertical="center" wrapText="1"/>
    </xf>
    <xf numFmtId="0" fontId="15" fillId="36" borderId="22" xfId="0" applyFont="1" applyFill="1" applyBorder="1" applyAlignment="1">
      <alignment horizontal="center" vertical="center" wrapText="1"/>
    </xf>
    <xf numFmtId="0" fontId="15" fillId="36" borderId="12" xfId="0" applyFont="1" applyFill="1" applyBorder="1" applyAlignment="1">
      <alignment horizontal="center" vertical="center" wrapText="1"/>
    </xf>
    <xf numFmtId="0" fontId="2" fillId="0" borderId="23" xfId="0" applyFont="1" applyBorder="1" applyAlignment="1">
      <alignment horizontal="center"/>
    </xf>
    <xf numFmtId="0" fontId="2" fillId="0" borderId="12" xfId="0" applyFont="1" applyBorder="1" applyAlignment="1">
      <alignment horizontal="center"/>
    </xf>
    <xf numFmtId="0" fontId="13" fillId="44" borderId="0" xfId="0" applyFont="1" applyFill="1"/>
    <xf numFmtId="0" fontId="0" fillId="0" borderId="12" xfId="0" applyBorder="1"/>
    <xf numFmtId="165" fontId="17" fillId="0" borderId="0" xfId="2" applyFont="1" applyAlignment="1">
      <alignment horizontal="center" vertical="center" wrapText="1"/>
    </xf>
    <xf numFmtId="165" fontId="8" fillId="0" borderId="0" xfId="2" applyFont="1" applyAlignment="1">
      <alignment horizontal="left" vertical="center"/>
    </xf>
    <xf numFmtId="173" fontId="10" fillId="0" borderId="0" xfId="2" applyNumberFormat="1" applyFont="1" applyAlignment="1">
      <alignment horizontal="center"/>
    </xf>
    <xf numFmtId="173" fontId="42" fillId="0" borderId="0" xfId="2" applyNumberFormat="1" applyFont="1" applyAlignment="1">
      <alignment horizontal="center"/>
    </xf>
    <xf numFmtId="173" fontId="17" fillId="0" borderId="81" xfId="2" applyNumberFormat="1" applyFont="1" applyBorder="1" applyAlignment="1">
      <alignment horizontal="center"/>
    </xf>
    <xf numFmtId="0" fontId="22" fillId="46" borderId="0" xfId="0" applyFont="1" applyFill="1"/>
    <xf numFmtId="0" fontId="0" fillId="46" borderId="0" xfId="0" applyFill="1"/>
    <xf numFmtId="4" fontId="0" fillId="0" borderId="1" xfId="0" applyNumberFormat="1" applyBorder="1"/>
    <xf numFmtId="4" fontId="15" fillId="0" borderId="0" xfId="0" applyNumberFormat="1" applyFont="1"/>
    <xf numFmtId="4" fontId="2" fillId="46" borderId="1" xfId="0" applyNumberFormat="1" applyFont="1" applyFill="1" applyBorder="1"/>
    <xf numFmtId="4" fontId="2" fillId="0" borderId="1" xfId="0" applyNumberFormat="1" applyFont="1" applyBorder="1"/>
    <xf numFmtId="4" fontId="68" fillId="0" borderId="0" xfId="0" applyNumberFormat="1" applyFont="1"/>
    <xf numFmtId="165" fontId="0" fillId="0" borderId="1" xfId="5" applyFont="1" applyBorder="1" applyAlignment="1">
      <alignment vertical="center"/>
    </xf>
    <xf numFmtId="178" fontId="0" fillId="0" borderId="1" xfId="0" applyNumberFormat="1" applyBorder="1"/>
    <xf numFmtId="178" fontId="2" fillId="0" borderId="1" xfId="0" applyNumberFormat="1" applyFont="1" applyBorder="1"/>
    <xf numFmtId="165" fontId="0" fillId="0" borderId="17" xfId="5" applyFont="1" applyBorder="1" applyAlignment="1">
      <alignment vertical="center"/>
    </xf>
    <xf numFmtId="4" fontId="0" fillId="0" borderId="44" xfId="0" applyNumberFormat="1" applyBorder="1"/>
    <xf numFmtId="165" fontId="0" fillId="0" borderId="2" xfId="5" applyFont="1" applyBorder="1" applyAlignment="1">
      <alignment vertical="center"/>
    </xf>
    <xf numFmtId="4" fontId="69" fillId="0" borderId="0" xfId="5" applyNumberFormat="1" applyFont="1" applyAlignment="1">
      <alignment horizontal="left" vertical="center"/>
    </xf>
    <xf numFmtId="0" fontId="23" fillId="18" borderId="12" xfId="0" applyFont="1" applyFill="1" applyBorder="1" applyAlignment="1">
      <alignment horizontal="center" wrapText="1"/>
    </xf>
    <xf numFmtId="0" fontId="23" fillId="18" borderId="22" xfId="0" applyFont="1" applyFill="1" applyBorder="1" applyAlignment="1">
      <alignment horizontal="center" wrapText="1"/>
    </xf>
    <xf numFmtId="0" fontId="23" fillId="18" borderId="23" xfId="0" applyFont="1" applyFill="1" applyBorder="1" applyAlignment="1">
      <alignment horizontal="center" wrapText="1"/>
    </xf>
    <xf numFmtId="1" fontId="9" fillId="0" borderId="1" xfId="0" applyNumberFormat="1" applyFont="1" applyBorder="1" applyAlignment="1">
      <alignment horizontal="center" vertical="center"/>
    </xf>
    <xf numFmtId="1" fontId="9" fillId="0" borderId="12" xfId="0" applyNumberFormat="1" applyFont="1" applyBorder="1" applyAlignment="1">
      <alignment horizontal="center" vertical="center"/>
    </xf>
    <xf numFmtId="1" fontId="9" fillId="0" borderId="22" xfId="0" applyNumberFormat="1" applyFont="1" applyBorder="1" applyAlignment="1">
      <alignment horizontal="center" vertical="center"/>
    </xf>
    <xf numFmtId="1" fontId="9" fillId="0" borderId="23" xfId="0" applyNumberFormat="1" applyFont="1" applyBorder="1" applyAlignment="1">
      <alignment horizontal="center" vertical="center"/>
    </xf>
    <xf numFmtId="1" fontId="2" fillId="19" borderId="1" xfId="0" applyNumberFormat="1" applyFont="1" applyFill="1" applyBorder="1" applyAlignment="1">
      <alignment vertical="center"/>
    </xf>
    <xf numFmtId="2" fontId="9" fillId="19" borderId="1" xfId="10" applyNumberFormat="1" applyFont="1" applyFill="1" applyBorder="1" applyAlignment="1">
      <alignment vertical="center"/>
    </xf>
    <xf numFmtId="2" fontId="70" fillId="36" borderId="1" xfId="10" applyNumberFormat="1" applyFont="1" applyFill="1" applyBorder="1" applyAlignment="1">
      <alignment vertical="center"/>
    </xf>
    <xf numFmtId="0" fontId="2" fillId="19" borderId="1" xfId="0" applyFont="1" applyFill="1" applyBorder="1" applyAlignment="1">
      <alignment vertical="center"/>
    </xf>
    <xf numFmtId="2" fontId="0" fillId="0" borderId="1" xfId="10" applyNumberFormat="1" applyFont="1" applyBorder="1" applyAlignment="1">
      <alignment vertical="center"/>
    </xf>
    <xf numFmtId="2" fontId="0" fillId="0" borderId="1" xfId="10" applyNumberFormat="1" applyFont="1" applyBorder="1" applyAlignment="1" applyProtection="1">
      <alignment vertical="center"/>
      <protection locked="0"/>
    </xf>
    <xf numFmtId="0" fontId="0" fillId="0" borderId="1" xfId="0" applyBorder="1" applyAlignment="1">
      <alignment vertical="center" wrapText="1"/>
    </xf>
    <xf numFmtId="2" fontId="0" fillId="26" borderId="1" xfId="10" applyNumberFormat="1" applyFont="1" applyFill="1" applyBorder="1" applyAlignment="1">
      <alignment vertical="center"/>
    </xf>
    <xf numFmtId="0" fontId="2" fillId="19" borderId="1" xfId="0" applyFont="1" applyFill="1" applyBorder="1" applyAlignment="1">
      <alignment horizontal="left" vertical="center"/>
    </xf>
    <xf numFmtId="1" fontId="9" fillId="19" borderId="1" xfId="10" applyNumberFormat="1" applyFont="1" applyFill="1" applyBorder="1" applyAlignment="1">
      <alignment vertical="center"/>
    </xf>
    <xf numFmtId="4" fontId="0" fillId="36" borderId="0" xfId="0" applyNumberFormat="1" applyFill="1"/>
    <xf numFmtId="0" fontId="0" fillId="36" borderId="0" xfId="0" applyFill="1"/>
    <xf numFmtId="165" fontId="0" fillId="0" borderId="2" xfId="2" applyFont="1" applyBorder="1" applyAlignment="1">
      <alignment vertical="center"/>
    </xf>
    <xf numFmtId="165" fontId="0" fillId="0" borderId="5" xfId="2" applyFont="1" applyBorder="1" applyAlignment="1">
      <alignment vertical="center"/>
    </xf>
    <xf numFmtId="165" fontId="0" fillId="0" borderId="6" xfId="2" applyFont="1" applyBorder="1" applyAlignment="1">
      <alignment vertical="center"/>
    </xf>
    <xf numFmtId="173" fontId="0" fillId="2" borderId="4" xfId="2" applyNumberFormat="1" applyFont="1" applyFill="1" applyBorder="1" applyAlignment="1" applyProtection="1">
      <alignment horizontal="right" vertical="center" wrapText="1"/>
      <protection locked="0"/>
    </xf>
    <xf numFmtId="173" fontId="0" fillId="2" borderId="4" xfId="2" applyNumberFormat="1" applyFont="1" applyFill="1" applyBorder="1" applyAlignment="1" applyProtection="1">
      <alignment horizontal="right" vertical="center"/>
      <protection locked="0"/>
    </xf>
    <xf numFmtId="173" fontId="0" fillId="11" borderId="4" xfId="2" applyNumberFormat="1" applyFont="1" applyFill="1" applyBorder="1" applyAlignment="1">
      <alignment vertical="center"/>
    </xf>
    <xf numFmtId="165" fontId="0" fillId="0" borderId="2" xfId="2" applyFont="1" applyBorder="1" applyAlignment="1">
      <alignment horizontal="left" vertical="center"/>
    </xf>
    <xf numFmtId="165" fontId="0" fillId="0" borderId="5" xfId="2" applyFont="1" applyBorder="1" applyAlignment="1">
      <alignment horizontal="left" vertical="center"/>
    </xf>
    <xf numFmtId="165" fontId="0" fillId="0" borderId="6" xfId="2" applyFont="1" applyBorder="1" applyAlignment="1">
      <alignment horizontal="left" vertical="center"/>
    </xf>
    <xf numFmtId="173" fontId="0" fillId="11" borderId="14" xfId="2" applyNumberFormat="1" applyFont="1" applyFill="1" applyBorder="1" applyAlignment="1">
      <alignment vertical="center"/>
    </xf>
    <xf numFmtId="165" fontId="0" fillId="0" borderId="2" xfId="2" applyFont="1" applyBorder="1" applyAlignment="1">
      <alignment horizontal="left" vertical="center" wrapText="1"/>
    </xf>
    <xf numFmtId="165" fontId="0" fillId="0" borderId="5" xfId="2" applyFont="1" applyBorder="1" applyAlignment="1">
      <alignment horizontal="left" vertical="center" wrapText="1"/>
    </xf>
    <xf numFmtId="165" fontId="0" fillId="0" borderId="6" xfId="2" applyFont="1" applyBorder="1" applyAlignment="1">
      <alignment horizontal="left" vertical="center" wrapText="1"/>
    </xf>
    <xf numFmtId="173" fontId="0" fillId="11" borderId="3" xfId="2" applyNumberFormat="1" applyFont="1" applyFill="1" applyBorder="1" applyAlignment="1">
      <alignment vertical="center"/>
    </xf>
    <xf numFmtId="173" fontId="0" fillId="11" borderId="16" xfId="2" applyNumberFormat="1" applyFont="1" applyFill="1" applyBorder="1" applyAlignment="1">
      <alignment vertical="center"/>
    </xf>
    <xf numFmtId="3" fontId="0" fillId="0" borderId="0" xfId="0" applyNumberFormat="1"/>
    <xf numFmtId="4" fontId="25" fillId="0" borderId="9" xfId="0" applyNumberFormat="1" applyFont="1" applyBorder="1"/>
    <xf numFmtId="178" fontId="25" fillId="0" borderId="9" xfId="0" applyNumberFormat="1" applyFont="1" applyBorder="1"/>
    <xf numFmtId="4" fontId="0" fillId="0" borderId="0" xfId="0" applyNumberFormat="1" applyProtection="1">
      <protection locked="0"/>
    </xf>
    <xf numFmtId="4" fontId="0" fillId="0" borderId="1" xfId="0" applyNumberFormat="1" applyBorder="1" applyAlignment="1">
      <alignment wrapText="1"/>
    </xf>
    <xf numFmtId="4" fontId="0" fillId="0" borderId="0" xfId="0" applyNumberFormat="1" applyAlignment="1">
      <alignment horizontal="right"/>
    </xf>
    <xf numFmtId="0" fontId="2" fillId="0" borderId="0" xfId="0" quotePrefix="1" applyFont="1" applyAlignment="1">
      <alignment horizontal="right"/>
    </xf>
    <xf numFmtId="178" fontId="0" fillId="0" borderId="0" xfId="0" applyNumberFormat="1"/>
    <xf numFmtId="178" fontId="0" fillId="0" borderId="0" xfId="8" applyNumberFormat="1" applyFont="1"/>
    <xf numFmtId="0" fontId="22" fillId="23" borderId="0" xfId="0" applyFont="1" applyFill="1"/>
    <xf numFmtId="0" fontId="0" fillId="0" borderId="1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4" fontId="0" fillId="0" borderId="0" xfId="0" applyNumberFormat="1"/>
    <xf numFmtId="0" fontId="0" fillId="50" borderId="0" xfId="0" applyFill="1"/>
    <xf numFmtId="0" fontId="0" fillId="49" borderId="0" xfId="0" applyFill="1"/>
    <xf numFmtId="0" fontId="0" fillId="48" borderId="0" xfId="0" applyFill="1"/>
    <xf numFmtId="0" fontId="0" fillId="47" borderId="0" xfId="0" applyFill="1"/>
    <xf numFmtId="0" fontId="0" fillId="23" borderId="0" xfId="0" applyFill="1"/>
    <xf numFmtId="0" fontId="0" fillId="49" borderId="63" xfId="0" applyFill="1" applyBorder="1" applyAlignment="1">
      <alignment horizontal="center"/>
    </xf>
    <xf numFmtId="0" fontId="0" fillId="49" borderId="105" xfId="0" applyFill="1" applyBorder="1" applyAlignment="1">
      <alignment horizontal="center"/>
    </xf>
    <xf numFmtId="0" fontId="0" fillId="49" borderId="104" xfId="0" applyFill="1" applyBorder="1" applyAlignment="1">
      <alignment horizontal="center"/>
    </xf>
    <xf numFmtId="2" fontId="0" fillId="0" borderId="0" xfId="7" applyNumberFormat="1" applyFont="1"/>
    <xf numFmtId="0" fontId="1" fillId="0" borderId="1" xfId="0" applyFont="1" applyBorder="1"/>
    <xf numFmtId="4" fontId="1" fillId="0" borderId="1" xfId="0" applyNumberFormat="1" applyFont="1" applyBorder="1"/>
    <xf numFmtId="0" fontId="0" fillId="2" borderId="44" xfId="0" applyFill="1" applyBorder="1" applyAlignment="1">
      <alignment horizontal="center"/>
    </xf>
    <xf numFmtId="0" fontId="0" fillId="0" borderId="8" xfId="0" applyBorder="1"/>
    <xf numFmtId="0" fontId="0" fillId="0" borderId="45" xfId="0" applyBorder="1"/>
    <xf numFmtId="0" fontId="0" fillId="0" borderId="10" xfId="0" applyBorder="1"/>
    <xf numFmtId="0" fontId="0" fillId="0" borderId="46" xfId="0" applyBorder="1"/>
    <xf numFmtId="172" fontId="0" fillId="0" borderId="0" xfId="0" applyNumberFormat="1" applyAlignment="1">
      <alignment horizontal="center"/>
    </xf>
    <xf numFmtId="4" fontId="2" fillId="19" borderId="1" xfId="0" applyNumberFormat="1" applyFont="1" applyFill="1" applyBorder="1"/>
    <xf numFmtId="178" fontId="2" fillId="19" borderId="1" xfId="0" applyNumberFormat="1" applyFont="1" applyFill="1" applyBorder="1"/>
    <xf numFmtId="0" fontId="1" fillId="0" borderId="0" xfId="0" applyFont="1"/>
    <xf numFmtId="4" fontId="1" fillId="0" borderId="0" xfId="0" applyNumberFormat="1" applyFont="1"/>
    <xf numFmtId="2" fontId="0" fillId="0" borderId="59" xfId="0" applyNumberFormat="1" applyBorder="1"/>
    <xf numFmtId="2" fontId="0" fillId="0" borderId="42" xfId="0" applyNumberFormat="1" applyBorder="1"/>
    <xf numFmtId="173" fontId="29" fillId="53" borderId="1" xfId="0" applyNumberFormat="1" applyFont="1" applyFill="1" applyBorder="1" applyAlignment="1" applyProtection="1">
      <alignment horizontal="right" vertical="center" wrapText="1"/>
      <protection locked="0"/>
    </xf>
    <xf numFmtId="173" fontId="16" fillId="53" borderId="1" xfId="1" applyNumberFormat="1" applyFont="1" applyFill="1" applyBorder="1" applyAlignment="1" applyProtection="1">
      <alignment horizontal="right" vertical="center" wrapText="1"/>
    </xf>
    <xf numFmtId="173" fontId="29" fillId="54" borderId="6" xfId="3" applyNumberFormat="1" applyFont="1" applyFill="1" applyBorder="1" applyAlignment="1" applyProtection="1">
      <alignment vertical="center" wrapText="1"/>
      <protection locked="0"/>
    </xf>
    <xf numFmtId="173" fontId="29" fillId="54" borderId="3" xfId="3" applyNumberFormat="1" applyFont="1" applyFill="1" applyBorder="1" applyAlignment="1" applyProtection="1">
      <alignment vertical="center" wrapText="1"/>
      <protection locked="0"/>
    </xf>
    <xf numFmtId="0" fontId="33" fillId="25" borderId="30" xfId="0" applyFont="1" applyFill="1" applyBorder="1" applyAlignment="1">
      <alignment horizontal="center" vertical="center"/>
    </xf>
    <xf numFmtId="2" fontId="0" fillId="0" borderId="45" xfId="0" applyNumberFormat="1" applyBorder="1"/>
    <xf numFmtId="2" fontId="0" fillId="0" borderId="64" xfId="0" applyNumberFormat="1" applyBorder="1"/>
    <xf numFmtId="0" fontId="27" fillId="25" borderId="92" xfId="0" applyFont="1" applyFill="1" applyBorder="1"/>
    <xf numFmtId="0" fontId="27" fillId="25" borderId="93" xfId="0" applyFont="1" applyFill="1" applyBorder="1" applyAlignment="1">
      <alignment vertical="center"/>
    </xf>
    <xf numFmtId="0" fontId="27" fillId="25" borderId="93" xfId="0" applyFont="1" applyFill="1" applyBorder="1"/>
    <xf numFmtId="0" fontId="27" fillId="25" borderId="95" xfId="0" applyFont="1" applyFill="1" applyBorder="1"/>
    <xf numFmtId="2" fontId="0" fillId="0" borderId="8" xfId="0" applyNumberFormat="1" applyBorder="1"/>
    <xf numFmtId="2" fontId="0" fillId="0" borderId="87" xfId="0" applyNumberFormat="1" applyBorder="1"/>
    <xf numFmtId="4" fontId="2" fillId="0" borderId="93" xfId="0" applyNumberFormat="1" applyFont="1" applyBorder="1" applyAlignment="1">
      <alignment vertical="center"/>
    </xf>
    <xf numFmtId="10" fontId="2" fillId="0" borderId="93" xfId="0" applyNumberFormat="1" applyFont="1" applyBorder="1"/>
    <xf numFmtId="2" fontId="0" fillId="0" borderId="93" xfId="0" applyNumberFormat="1" applyBorder="1"/>
    <xf numFmtId="10" fontId="0" fillId="0" borderId="106" xfId="1" applyNumberFormat="1" applyFont="1" applyBorder="1" applyProtection="1"/>
    <xf numFmtId="2" fontId="45" fillId="0" borderId="99" xfId="0" applyNumberFormat="1" applyFont="1" applyBorder="1" applyAlignment="1">
      <alignment horizontal="center"/>
    </xf>
    <xf numFmtId="0" fontId="2" fillId="0" borderId="0" xfId="0" applyFont="1" applyAlignment="1">
      <alignment horizontal="center"/>
    </xf>
    <xf numFmtId="0" fontId="0" fillId="0" borderId="63" xfId="0" applyBorder="1" applyAlignment="1">
      <alignment horizontal="left"/>
    </xf>
    <xf numFmtId="0" fontId="0" fillId="0" borderId="64" xfId="0" applyBorder="1" applyAlignment="1">
      <alignment horizontal="left"/>
    </xf>
    <xf numFmtId="0" fontId="0" fillId="0" borderId="34" xfId="0" applyBorder="1" applyAlignment="1">
      <alignment horizontal="left"/>
    </xf>
    <xf numFmtId="0" fontId="0" fillId="0" borderId="30" xfId="0" applyBorder="1" applyAlignment="1">
      <alignment horizontal="left"/>
    </xf>
    <xf numFmtId="0" fontId="0" fillId="0" borderId="12" xfId="0" applyBorder="1" applyAlignment="1">
      <alignment horizontal="left"/>
    </xf>
    <xf numFmtId="0" fontId="0" fillId="0" borderId="23" xfId="0" applyBorder="1" applyAlignment="1">
      <alignment horizontal="left"/>
    </xf>
    <xf numFmtId="0" fontId="0" fillId="0" borderId="77" xfId="0" applyBorder="1" applyAlignment="1">
      <alignment horizontal="left"/>
    </xf>
    <xf numFmtId="0" fontId="0" fillId="0" borderId="98" xfId="0" applyBorder="1" applyAlignment="1">
      <alignment horizontal="left"/>
    </xf>
    <xf numFmtId="0" fontId="4" fillId="0" borderId="0" xfId="6" applyFont="1" applyAlignment="1">
      <alignment horizontal="center" vertical="center" wrapText="1"/>
    </xf>
    <xf numFmtId="0" fontId="51" fillId="0" borderId="90" xfId="6" applyFont="1" applyBorder="1" applyAlignment="1">
      <alignment horizontal="center" vertical="center" wrapText="1"/>
    </xf>
    <xf numFmtId="0" fontId="51" fillId="22" borderId="88" xfId="6" applyFont="1" applyFill="1" applyBorder="1" applyAlignment="1">
      <alignment horizontal="center" vertical="center" wrapText="1"/>
    </xf>
    <xf numFmtId="0" fontId="51" fillId="22" borderId="91" xfId="6" applyFont="1" applyFill="1" applyBorder="1" applyAlignment="1">
      <alignment horizontal="center" vertical="center" wrapText="1"/>
    </xf>
    <xf numFmtId="0" fontId="0" fillId="0" borderId="89" xfId="0" applyBorder="1" applyAlignment="1">
      <alignment horizontal="center" vertical="center" wrapText="1"/>
    </xf>
    <xf numFmtId="0" fontId="49" fillId="0" borderId="88" xfId="6" applyFont="1" applyBorder="1" applyAlignment="1">
      <alignment horizontal="left" vertical="center" wrapText="1"/>
    </xf>
    <xf numFmtId="0" fontId="49" fillId="0" borderId="89" xfId="6" applyFont="1" applyBorder="1" applyAlignment="1">
      <alignment horizontal="left" vertical="center" wrapText="1"/>
    </xf>
    <xf numFmtId="0" fontId="50" fillId="0" borderId="88" xfId="6" applyFont="1" applyBorder="1" applyAlignment="1">
      <alignment horizontal="left" vertical="center" wrapText="1"/>
    </xf>
    <xf numFmtId="0" fontId="50" fillId="0" borderId="89" xfId="6" applyFont="1" applyBorder="1" applyAlignment="1">
      <alignment horizontal="left" vertical="center" wrapText="1"/>
    </xf>
    <xf numFmtId="0" fontId="2" fillId="0" borderId="1" xfId="0" applyFont="1" applyBorder="1" applyAlignment="1">
      <alignment horizontal="center" vertical="center" wrapText="1"/>
    </xf>
    <xf numFmtId="165" fontId="6" fillId="0" borderId="16" xfId="2" applyFont="1" applyBorder="1" applyAlignment="1">
      <alignment horizontal="center" vertical="center" wrapText="1"/>
    </xf>
    <xf numFmtId="165" fontId="6" fillId="0" borderId="3" xfId="2" applyFont="1" applyBorder="1" applyAlignment="1">
      <alignment horizontal="center" vertical="center" wrapText="1"/>
    </xf>
    <xf numFmtId="165" fontId="6" fillId="0" borderId="14" xfId="2" applyFont="1" applyBorder="1" applyAlignment="1">
      <alignment horizontal="center" vertical="center" wrapText="1"/>
    </xf>
    <xf numFmtId="164" fontId="0" fillId="0" borderId="12" xfId="7" applyFont="1" applyFill="1" applyBorder="1" applyAlignment="1" applyProtection="1">
      <alignment horizontal="center"/>
    </xf>
    <xf numFmtId="164" fontId="0" fillId="0" borderId="23" xfId="7" applyFont="1" applyFill="1" applyBorder="1" applyAlignment="1" applyProtection="1">
      <alignment horizontal="center"/>
    </xf>
    <xf numFmtId="4" fontId="1" fillId="0" borderId="12" xfId="1" applyNumberFormat="1" applyFont="1" applyFill="1" applyBorder="1" applyAlignment="1" applyProtection="1">
      <alignment horizontal="center" vertical="center"/>
    </xf>
    <xf numFmtId="4" fontId="1" fillId="0" borderId="23" xfId="1" applyNumberFormat="1" applyFont="1" applyFill="1" applyBorder="1" applyAlignment="1" applyProtection="1">
      <alignment horizontal="center" vertical="center"/>
    </xf>
    <xf numFmtId="4" fontId="2" fillId="0" borderId="12" xfId="1" applyNumberFormat="1" applyFont="1" applyFill="1" applyBorder="1" applyAlignment="1" applyProtection="1">
      <alignment horizontal="center" vertical="center"/>
    </xf>
    <xf numFmtId="4" fontId="2" fillId="0" borderId="23" xfId="1" applyNumberFormat="1" applyFont="1" applyFill="1" applyBorder="1" applyAlignment="1" applyProtection="1">
      <alignment horizontal="center" vertical="center"/>
    </xf>
    <xf numFmtId="164" fontId="2" fillId="0" borderId="12" xfId="7" applyFont="1" applyBorder="1" applyAlignment="1" applyProtection="1">
      <alignment horizontal="left" vertical="top"/>
    </xf>
    <xf numFmtId="164" fontId="2" fillId="0" borderId="23" xfId="7" applyFont="1" applyBorder="1" applyAlignment="1" applyProtection="1">
      <alignment horizontal="left" vertical="top"/>
    </xf>
    <xf numFmtId="165" fontId="7" fillId="3" borderId="12" xfId="2" applyFont="1" applyFill="1" applyBorder="1" applyAlignment="1">
      <alignment horizontal="center" vertical="center"/>
    </xf>
    <xf numFmtId="165" fontId="7" fillId="3" borderId="22" xfId="2" applyFont="1" applyFill="1" applyBorder="1" applyAlignment="1">
      <alignment horizontal="center" vertical="center"/>
    </xf>
    <xf numFmtId="10" fontId="2" fillId="0" borderId="8" xfId="1" applyNumberFormat="1" applyFont="1" applyBorder="1" applyAlignment="1" applyProtection="1">
      <alignment horizontal="center" vertical="center"/>
    </xf>
    <xf numFmtId="10" fontId="2" fillId="0" borderId="45" xfId="1" applyNumberFormat="1" applyFont="1" applyBorder="1" applyAlignment="1" applyProtection="1">
      <alignment horizontal="center" vertical="center"/>
    </xf>
    <xf numFmtId="165" fontId="6" fillId="0" borderId="96" xfId="2" applyFont="1" applyBorder="1" applyAlignment="1">
      <alignment horizontal="center" vertical="center" wrapText="1"/>
    </xf>
    <xf numFmtId="165" fontId="6" fillId="0" borderId="97" xfId="2" applyFont="1" applyBorder="1" applyAlignment="1">
      <alignment horizontal="center" vertical="center" wrapText="1"/>
    </xf>
    <xf numFmtId="165" fontId="6" fillId="0" borderId="19" xfId="2" applyFont="1" applyBorder="1" applyAlignment="1">
      <alignment horizontal="left" vertical="center"/>
    </xf>
    <xf numFmtId="165" fontId="6" fillId="0" borderId="20" xfId="2" applyFont="1" applyBorder="1" applyAlignment="1">
      <alignment horizontal="left" vertical="center"/>
    </xf>
    <xf numFmtId="165" fontId="6" fillId="0" borderId="17" xfId="2" applyFont="1" applyBorder="1" applyAlignment="1">
      <alignment horizontal="left" vertical="center"/>
    </xf>
    <xf numFmtId="165" fontId="6" fillId="0" borderId="15" xfId="2" applyFont="1" applyBorder="1" applyAlignment="1">
      <alignment horizontal="left" vertical="center"/>
    </xf>
    <xf numFmtId="165" fontId="6" fillId="0" borderId="3" xfId="2" applyFont="1" applyBorder="1" applyAlignment="1">
      <alignment horizontal="center" vertical="center"/>
    </xf>
    <xf numFmtId="165" fontId="30" fillId="0" borderId="1" xfId="2" applyFont="1" applyBorder="1" applyAlignment="1">
      <alignment horizontal="left" vertical="center" wrapText="1"/>
    </xf>
    <xf numFmtId="165" fontId="6" fillId="0" borderId="5" xfId="2" applyFont="1" applyBorder="1" applyAlignment="1">
      <alignment horizontal="left" vertical="center" wrapText="1"/>
    </xf>
    <xf numFmtId="165" fontId="6" fillId="0" borderId="6" xfId="2" applyFont="1" applyBorder="1" applyAlignment="1">
      <alignment horizontal="left" vertical="center" wrapText="1"/>
    </xf>
    <xf numFmtId="165" fontId="30" fillId="6" borderId="1" xfId="2" applyFont="1" applyFill="1" applyBorder="1" applyAlignment="1">
      <alignment horizontal="left" vertical="center" wrapText="1"/>
    </xf>
    <xf numFmtId="165" fontId="30" fillId="4" borderId="1" xfId="2" applyFont="1" applyFill="1" applyBorder="1" applyAlignment="1">
      <alignment horizontal="left" vertical="center" wrapText="1"/>
    </xf>
    <xf numFmtId="0" fontId="7" fillId="0" borderId="1" xfId="0" applyFont="1" applyBorder="1" applyAlignment="1">
      <alignment horizontal="center" vertical="center" wrapText="1"/>
    </xf>
    <xf numFmtId="165" fontId="30" fillId="7" borderId="1" xfId="2" applyFont="1" applyFill="1" applyBorder="1" applyAlignment="1">
      <alignment horizontal="left" vertical="center" wrapText="1"/>
    </xf>
    <xf numFmtId="2" fontId="0" fillId="41" borderId="12" xfId="0" applyNumberFormat="1" applyFill="1" applyBorder="1" applyAlignment="1">
      <alignment horizontal="center"/>
    </xf>
    <xf numFmtId="2" fontId="0" fillId="41" borderId="23" xfId="0" applyNumberFormat="1" applyFill="1" applyBorder="1" applyAlignment="1">
      <alignment horizontal="center"/>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167" fontId="8" fillId="0" borderId="1" xfId="3" applyNumberFormat="1" applyFont="1" applyBorder="1" applyAlignment="1">
      <alignment horizontal="left" vertical="center" wrapText="1"/>
    </xf>
    <xf numFmtId="0" fontId="10" fillId="53" borderId="12" xfId="0" applyFont="1" applyFill="1" applyBorder="1" applyAlignment="1">
      <alignment horizontal="left" vertical="center" wrapText="1"/>
    </xf>
    <xf numFmtId="0" fontId="10" fillId="53" borderId="22" xfId="0" applyFont="1" applyFill="1" applyBorder="1" applyAlignment="1">
      <alignment horizontal="left" vertical="center" wrapText="1"/>
    </xf>
    <xf numFmtId="0" fontId="10" fillId="53" borderId="23" xfId="0" applyFont="1" applyFill="1" applyBorder="1" applyAlignment="1">
      <alignment horizontal="left" vertical="center" wrapText="1"/>
    </xf>
    <xf numFmtId="4" fontId="2" fillId="0" borderId="1" xfId="1"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165" fontId="10" fillId="0" borderId="1" xfId="5" applyFont="1" applyBorder="1" applyAlignment="1">
      <alignment horizontal="left" vertical="center" wrapText="1"/>
    </xf>
    <xf numFmtId="165" fontId="10" fillId="0" borderId="1" xfId="5" applyFont="1" applyBorder="1" applyAlignment="1">
      <alignment horizontal="left" vertical="center"/>
    </xf>
    <xf numFmtId="0" fontId="0" fillId="15" borderId="1" xfId="0" applyFill="1" applyBorder="1" applyAlignment="1">
      <alignment horizontal="left"/>
    </xf>
    <xf numFmtId="0" fontId="34" fillId="23" borderId="63" xfId="0" applyFont="1" applyFill="1" applyBorder="1" applyAlignment="1">
      <alignment horizontal="left" vertical="top" wrapText="1"/>
    </xf>
    <xf numFmtId="0" fontId="34" fillId="23" borderId="105" xfId="0" applyFont="1" applyFill="1" applyBorder="1" applyAlignment="1">
      <alignment horizontal="left" vertical="top" wrapText="1"/>
    </xf>
    <xf numFmtId="0" fontId="34" fillId="23" borderId="104" xfId="0" applyFont="1" applyFill="1" applyBorder="1" applyAlignment="1">
      <alignment horizontal="left" vertical="top" wrapText="1"/>
    </xf>
    <xf numFmtId="165" fontId="32" fillId="25" borderId="1" xfId="2" applyFont="1" applyFill="1" applyBorder="1" applyAlignment="1">
      <alignment horizontal="center" vertical="center" wrapText="1"/>
    </xf>
    <xf numFmtId="165" fontId="29" fillId="0" borderId="1" xfId="5" applyFont="1" applyBorder="1" applyAlignment="1">
      <alignment horizontal="left" vertical="center" wrapText="1"/>
    </xf>
    <xf numFmtId="165" fontId="17" fillId="15" borderId="1" xfId="5" applyFont="1" applyFill="1" applyBorder="1" applyAlignment="1">
      <alignment horizontal="left" vertical="center"/>
    </xf>
    <xf numFmtId="0" fontId="2" fillId="20" borderId="1" xfId="0" applyFont="1" applyFill="1" applyBorder="1" applyAlignment="1">
      <alignment horizontal="left"/>
    </xf>
    <xf numFmtId="0" fontId="2" fillId="0" borderId="0" xfId="0" applyFont="1" applyAlignment="1">
      <alignment horizontal="left"/>
    </xf>
    <xf numFmtId="165" fontId="10" fillId="0" borderId="0" xfId="5" applyFont="1" applyAlignment="1">
      <alignment horizontal="left" vertical="center"/>
    </xf>
    <xf numFmtId="165" fontId="10" fillId="0" borderId="0" xfId="5" applyFont="1" applyAlignment="1">
      <alignment horizontal="left" vertical="center" wrapText="1"/>
    </xf>
    <xf numFmtId="0" fontId="0" fillId="0" borderId="0" xfId="0" applyAlignment="1">
      <alignment horizontal="left"/>
    </xf>
    <xf numFmtId="165" fontId="17" fillId="0" borderId="0" xfId="5" applyFont="1" applyAlignment="1">
      <alignment horizontal="left" vertical="center"/>
    </xf>
    <xf numFmtId="165" fontId="29" fillId="0" borderId="0" xfId="5" applyFont="1" applyAlignment="1">
      <alignment horizontal="left" vertical="center" wrapText="1"/>
    </xf>
    <xf numFmtId="165" fontId="32" fillId="0" borderId="0" xfId="2" applyFont="1" applyAlignment="1">
      <alignment horizontal="center" vertical="center" wrapText="1"/>
    </xf>
    <xf numFmtId="165" fontId="10" fillId="0" borderId="5" xfId="5" applyFont="1" applyBorder="1" applyAlignment="1">
      <alignment horizontal="left" vertical="center" wrapText="1"/>
    </xf>
    <xf numFmtId="165" fontId="10" fillId="0" borderId="6" xfId="5" applyFont="1" applyBorder="1" applyAlignment="1">
      <alignment horizontal="left" vertical="center" wrapText="1"/>
    </xf>
    <xf numFmtId="165" fontId="10" fillId="0" borderId="2" xfId="5" applyFont="1" applyBorder="1" applyAlignment="1">
      <alignment horizontal="left" vertical="center"/>
    </xf>
    <xf numFmtId="165" fontId="10" fillId="0" borderId="6" xfId="5" applyFont="1" applyBorder="1" applyAlignment="1">
      <alignment horizontal="left" vertical="center"/>
    </xf>
    <xf numFmtId="0" fontId="0" fillId="15" borderId="5" xfId="0" applyFill="1" applyBorder="1" applyAlignment="1">
      <alignment horizontal="left"/>
    </xf>
    <xf numFmtId="0" fontId="0" fillId="15" borderId="6" xfId="0" applyFill="1" applyBorder="1" applyAlignment="1">
      <alignment horizontal="left"/>
    </xf>
    <xf numFmtId="0" fontId="0" fillId="15" borderId="12" xfId="0" applyFill="1" applyBorder="1" applyAlignment="1">
      <alignment horizontal="left"/>
    </xf>
    <xf numFmtId="0" fontId="0" fillId="15" borderId="23" xfId="0" applyFill="1" applyBorder="1" applyAlignment="1">
      <alignment horizontal="left"/>
    </xf>
    <xf numFmtId="165" fontId="29" fillId="0" borderId="5" xfId="5" applyFont="1" applyBorder="1" applyAlignment="1">
      <alignment horizontal="left" vertical="center" wrapText="1"/>
    </xf>
    <xf numFmtId="165" fontId="29" fillId="0" borderId="6" xfId="5" applyFont="1" applyBorder="1" applyAlignment="1">
      <alignment horizontal="left" vertical="center" wrapText="1"/>
    </xf>
    <xf numFmtId="165" fontId="32" fillId="25" borderId="8" xfId="2" applyFont="1" applyFill="1" applyBorder="1" applyAlignment="1">
      <alignment horizontal="center" vertical="center" wrapText="1"/>
    </xf>
    <xf numFmtId="165" fontId="32" fillId="25" borderId="45" xfId="2" applyFont="1" applyFill="1" applyBorder="1" applyAlignment="1">
      <alignment horizontal="center" vertical="center" wrapText="1"/>
    </xf>
    <xf numFmtId="165" fontId="32" fillId="25" borderId="24" xfId="2" applyFont="1" applyFill="1" applyBorder="1" applyAlignment="1">
      <alignment horizontal="center" vertical="center" wrapText="1"/>
    </xf>
    <xf numFmtId="165" fontId="32" fillId="25" borderId="67" xfId="2" applyFont="1" applyFill="1" applyBorder="1" applyAlignment="1">
      <alignment horizontal="center" vertical="center" wrapText="1"/>
    </xf>
    <xf numFmtId="165" fontId="32" fillId="25" borderId="69" xfId="2" applyFont="1" applyFill="1" applyBorder="1" applyAlignment="1">
      <alignment horizontal="center" vertical="center" wrapText="1"/>
    </xf>
    <xf numFmtId="165" fontId="32" fillId="25" borderId="70" xfId="2" applyFont="1" applyFill="1" applyBorder="1" applyAlignment="1">
      <alignment horizontal="center" vertical="center" wrapText="1"/>
    </xf>
    <xf numFmtId="0" fontId="2" fillId="20" borderId="12" xfId="0" applyFont="1" applyFill="1" applyBorder="1" applyAlignment="1">
      <alignment horizontal="left"/>
    </xf>
    <xf numFmtId="0" fontId="2" fillId="20" borderId="22" xfId="0" applyFont="1" applyFill="1" applyBorder="1" applyAlignment="1">
      <alignment horizontal="left"/>
    </xf>
    <xf numFmtId="0" fontId="2" fillId="20" borderId="23" xfId="0" applyFont="1" applyFill="1" applyBorder="1" applyAlignment="1">
      <alignment horizontal="left"/>
    </xf>
    <xf numFmtId="165" fontId="17" fillId="15" borderId="2" xfId="5" applyFont="1" applyFill="1" applyBorder="1" applyAlignment="1">
      <alignment horizontal="left" vertical="center"/>
    </xf>
    <xf numFmtId="165" fontId="17" fillId="15" borderId="5" xfId="5" applyFont="1" applyFill="1" applyBorder="1" applyAlignment="1">
      <alignment horizontal="left" vertical="center"/>
    </xf>
    <xf numFmtId="165" fontId="17" fillId="15" borderId="6" xfId="5" applyFont="1" applyFill="1" applyBorder="1" applyAlignment="1">
      <alignment horizontal="left" vertical="center"/>
    </xf>
    <xf numFmtId="165" fontId="32" fillId="25" borderId="9" xfId="2" applyFont="1" applyFill="1" applyBorder="1" applyAlignment="1">
      <alignment horizontal="center" vertical="center" wrapText="1"/>
    </xf>
    <xf numFmtId="165" fontId="32" fillId="25" borderId="0" xfId="2" applyFont="1" applyFill="1" applyAlignment="1">
      <alignment horizontal="center" vertical="center" wrapText="1"/>
    </xf>
    <xf numFmtId="165" fontId="32" fillId="25" borderId="7" xfId="2" applyFont="1" applyFill="1" applyBorder="1" applyAlignment="1">
      <alignment horizontal="center" vertical="center" wrapText="1"/>
    </xf>
    <xf numFmtId="165" fontId="16" fillId="0" borderId="1" xfId="2" applyFont="1" applyBorder="1" applyAlignment="1">
      <alignment horizontal="center" vertical="center" wrapText="1"/>
    </xf>
    <xf numFmtId="0" fontId="21" fillId="25" borderId="8" xfId="0" applyFont="1" applyFill="1" applyBorder="1" applyAlignment="1">
      <alignment horizontal="left" vertical="center"/>
    </xf>
    <xf numFmtId="0" fontId="21" fillId="25" borderId="65" xfId="0" applyFont="1" applyFill="1" applyBorder="1" applyAlignment="1">
      <alignment horizontal="left" vertical="center"/>
    </xf>
    <xf numFmtId="0" fontId="21" fillId="25" borderId="10" xfId="0" applyFont="1" applyFill="1" applyBorder="1" applyAlignment="1">
      <alignment horizontal="left" vertical="center"/>
    </xf>
    <xf numFmtId="0" fontId="21" fillId="25" borderId="66" xfId="0" applyFont="1" applyFill="1" applyBorder="1" applyAlignment="1">
      <alignment horizontal="left" vertical="center"/>
    </xf>
    <xf numFmtId="0" fontId="2" fillId="26" borderId="8" xfId="0" applyFont="1" applyFill="1" applyBorder="1" applyAlignment="1">
      <alignment horizontal="left" vertical="center"/>
    </xf>
    <xf numFmtId="0" fontId="2" fillId="26" borderId="65" xfId="0" applyFont="1" applyFill="1" applyBorder="1" applyAlignment="1">
      <alignment horizontal="left" vertical="center"/>
    </xf>
    <xf numFmtId="0" fontId="2" fillId="26" borderId="10" xfId="0" applyFont="1" applyFill="1" applyBorder="1" applyAlignment="1">
      <alignment horizontal="left" vertical="center"/>
    </xf>
    <xf numFmtId="0" fontId="2" fillId="26" borderId="66" xfId="0" applyFont="1" applyFill="1" applyBorder="1" applyAlignment="1">
      <alignment horizontal="left" vertical="center"/>
    </xf>
    <xf numFmtId="0" fontId="21" fillId="25" borderId="24" xfId="0" applyFont="1" applyFill="1" applyBorder="1" applyAlignment="1">
      <alignment horizontal="left" vertical="center"/>
    </xf>
    <xf numFmtId="0" fontId="21" fillId="25" borderId="68" xfId="0" applyFont="1" applyFill="1" applyBorder="1" applyAlignment="1">
      <alignment horizontal="left" vertical="center"/>
    </xf>
    <xf numFmtId="0" fontId="2" fillId="26" borderId="24" xfId="0" applyFont="1" applyFill="1" applyBorder="1" applyAlignment="1">
      <alignment horizontal="left" vertical="center"/>
    </xf>
    <xf numFmtId="0" fontId="2" fillId="26" borderId="68" xfId="0" applyFont="1" applyFill="1" applyBorder="1" applyAlignment="1">
      <alignment horizontal="left" vertical="center"/>
    </xf>
    <xf numFmtId="165" fontId="10" fillId="0" borderId="12" xfId="5" applyFont="1" applyBorder="1" applyAlignment="1">
      <alignment horizontal="left" vertical="center"/>
    </xf>
    <xf numFmtId="165" fontId="10" fillId="0" borderId="23" xfId="5" applyFont="1" applyBorder="1" applyAlignment="1">
      <alignment horizontal="left" vertical="center"/>
    </xf>
    <xf numFmtId="165" fontId="17" fillId="15" borderId="12" xfId="5" applyFont="1" applyFill="1" applyBorder="1" applyAlignment="1">
      <alignment horizontal="left" vertical="center"/>
    </xf>
    <xf numFmtId="165" fontId="17" fillId="15" borderId="22" xfId="5" applyFont="1" applyFill="1" applyBorder="1" applyAlignment="1">
      <alignment horizontal="left" vertical="center"/>
    </xf>
    <xf numFmtId="165" fontId="17" fillId="15" borderId="23" xfId="5" applyFont="1" applyFill="1" applyBorder="1" applyAlignment="1">
      <alignment horizontal="left" vertical="center"/>
    </xf>
    <xf numFmtId="165" fontId="10" fillId="0" borderId="12" xfId="5" applyFont="1" applyBorder="1" applyAlignment="1">
      <alignment horizontal="left" vertical="center" wrapText="1"/>
    </xf>
    <xf numFmtId="165" fontId="10" fillId="0" borderId="23" xfId="5" applyFont="1" applyBorder="1" applyAlignment="1">
      <alignment horizontal="left" vertical="center" wrapText="1"/>
    </xf>
    <xf numFmtId="165" fontId="29" fillId="0" borderId="12" xfId="5" applyFont="1" applyBorder="1" applyAlignment="1">
      <alignment horizontal="left" vertical="center" wrapText="1"/>
    </xf>
    <xf numFmtId="165" fontId="29" fillId="0" borderId="23" xfId="5" applyFont="1" applyBorder="1" applyAlignment="1">
      <alignment horizontal="left" vertical="center" wrapText="1"/>
    </xf>
    <xf numFmtId="165" fontId="32" fillId="25" borderId="12" xfId="2" applyFont="1" applyFill="1" applyBorder="1" applyAlignment="1">
      <alignment horizontal="center" vertical="center" wrapText="1"/>
    </xf>
    <xf numFmtId="165" fontId="32" fillId="25" borderId="22" xfId="2" applyFont="1" applyFill="1" applyBorder="1" applyAlignment="1">
      <alignment horizontal="center" vertical="center" wrapText="1"/>
    </xf>
    <xf numFmtId="165" fontId="32" fillId="25" borderId="23" xfId="2" applyFont="1" applyFill="1" applyBorder="1" applyAlignment="1">
      <alignment horizontal="center" vertical="center" wrapText="1"/>
    </xf>
    <xf numFmtId="0" fontId="21" fillId="25" borderId="42" xfId="0" applyFont="1" applyFill="1" applyBorder="1" applyAlignment="1">
      <alignment horizontal="center" vertical="center" wrapText="1"/>
    </xf>
    <xf numFmtId="0" fontId="21" fillId="25" borderId="43" xfId="0" applyFont="1" applyFill="1" applyBorder="1" applyAlignment="1">
      <alignment horizontal="center" vertical="center" wrapText="1"/>
    </xf>
    <xf numFmtId="0" fontId="21" fillId="25" borderId="44" xfId="0" applyFont="1" applyFill="1" applyBorder="1" applyAlignment="1">
      <alignment horizontal="center" vertical="center" wrapText="1"/>
    </xf>
    <xf numFmtId="0" fontId="2" fillId="20" borderId="86" xfId="0" applyFont="1" applyFill="1" applyBorder="1" applyAlignment="1">
      <alignment horizontal="left"/>
    </xf>
    <xf numFmtId="165" fontId="32" fillId="25" borderId="42" xfId="2" applyFont="1" applyFill="1" applyBorder="1" applyAlignment="1">
      <alignment horizontal="center" vertical="center" wrapText="1"/>
    </xf>
    <xf numFmtId="165" fontId="32" fillId="25" borderId="43" xfId="2" applyFont="1" applyFill="1" applyBorder="1" applyAlignment="1">
      <alignment horizontal="center" vertical="center" wrapText="1"/>
    </xf>
    <xf numFmtId="165" fontId="32" fillId="25" borderId="74" xfId="2" applyFont="1" applyFill="1" applyBorder="1" applyAlignment="1">
      <alignment horizontal="center" vertical="center" wrapText="1"/>
    </xf>
    <xf numFmtId="0" fontId="2" fillId="20" borderId="71" xfId="0" applyFont="1" applyFill="1" applyBorder="1" applyAlignment="1">
      <alignment horizontal="left"/>
    </xf>
    <xf numFmtId="0" fontId="2" fillId="20" borderId="72" xfId="0" applyFont="1" applyFill="1" applyBorder="1" applyAlignment="1">
      <alignment horizontal="left"/>
    </xf>
    <xf numFmtId="0" fontId="2" fillId="20" borderId="73" xfId="0" applyFont="1" applyFill="1" applyBorder="1" applyAlignment="1">
      <alignment horizontal="left"/>
    </xf>
    <xf numFmtId="165" fontId="10" fillId="0" borderId="9" xfId="5" applyFont="1" applyBorder="1" applyAlignment="1">
      <alignment horizontal="left" vertical="center"/>
    </xf>
    <xf numFmtId="165" fontId="10" fillId="0" borderId="9" xfId="5" applyFont="1" applyBorder="1" applyAlignment="1">
      <alignment horizontal="left" vertical="center" wrapText="1"/>
    </xf>
    <xf numFmtId="0" fontId="21" fillId="25" borderId="12"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21" fillId="25" borderId="23" xfId="0" applyFont="1" applyFill="1" applyBorder="1" applyAlignment="1">
      <alignment horizontal="center" vertical="center" wrapText="1"/>
    </xf>
    <xf numFmtId="0" fontId="0" fillId="15" borderId="72" xfId="0" applyFill="1" applyBorder="1" applyAlignment="1">
      <alignment horizontal="left"/>
    </xf>
    <xf numFmtId="0" fontId="0" fillId="15" borderId="73" xfId="0" applyFill="1" applyBorder="1" applyAlignment="1">
      <alignment horizontal="left"/>
    </xf>
    <xf numFmtId="165" fontId="17" fillId="15" borderId="85" xfId="5" applyFont="1" applyFill="1" applyBorder="1" applyAlignment="1">
      <alignment horizontal="left" vertical="center"/>
    </xf>
    <xf numFmtId="165" fontId="17" fillId="15" borderId="72" xfId="5" applyFont="1" applyFill="1" applyBorder="1" applyAlignment="1">
      <alignment horizontal="left" vertical="center"/>
    </xf>
    <xf numFmtId="165" fontId="17" fillId="15" borderId="73" xfId="5" applyFont="1" applyFill="1" applyBorder="1" applyAlignment="1">
      <alignment horizontal="left" vertical="center"/>
    </xf>
    <xf numFmtId="0" fontId="21" fillId="25" borderId="8" xfId="0" applyFont="1" applyFill="1" applyBorder="1" applyAlignment="1">
      <alignment horizontal="center" vertical="center" wrapText="1"/>
    </xf>
    <xf numFmtId="0" fontId="21" fillId="25" borderId="9" xfId="0" applyFont="1" applyFill="1" applyBorder="1" applyAlignment="1">
      <alignment horizontal="center" vertical="center" wrapText="1"/>
    </xf>
    <xf numFmtId="0" fontId="21" fillId="25" borderId="45"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25" borderId="0" xfId="0" applyFont="1" applyFill="1" applyAlignment="1">
      <alignment horizontal="center" vertical="center" wrapText="1"/>
    </xf>
    <xf numFmtId="0" fontId="21" fillId="25" borderId="67" xfId="0"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1" fillId="25" borderId="46" xfId="0" applyFont="1" applyFill="1" applyBorder="1" applyAlignment="1">
      <alignment horizontal="center" vertical="center" wrapText="1"/>
    </xf>
    <xf numFmtId="165" fontId="10" fillId="9" borderId="42" xfId="2" applyFont="1" applyFill="1" applyBorder="1" applyAlignment="1">
      <alignment horizontal="center" vertical="center" wrapText="1"/>
    </xf>
    <xf numFmtId="165" fontId="10" fillId="9" borderId="43" xfId="2" applyFont="1" applyFill="1" applyBorder="1" applyAlignment="1">
      <alignment horizontal="center" vertical="center" wrapText="1"/>
    </xf>
    <xf numFmtId="165" fontId="10" fillId="9" borderId="44" xfId="2" applyFont="1" applyFill="1" applyBorder="1" applyAlignment="1">
      <alignment horizontal="center" vertical="center" wrapText="1"/>
    </xf>
    <xf numFmtId="165" fontId="10" fillId="9" borderId="12" xfId="2" applyFont="1" applyFill="1" applyBorder="1" applyAlignment="1">
      <alignment horizontal="center" vertical="center" wrapText="1"/>
    </xf>
    <xf numFmtId="165" fontId="10" fillId="9" borderId="23" xfId="2" applyFont="1" applyFill="1" applyBorder="1" applyAlignment="1">
      <alignment horizontal="center" vertical="center" wrapText="1"/>
    </xf>
    <xf numFmtId="165" fontId="10" fillId="9" borderId="22" xfId="2" applyFont="1" applyFill="1" applyBorder="1" applyAlignment="1">
      <alignment horizontal="center" vertical="center" wrapText="1"/>
    </xf>
    <xf numFmtId="0" fontId="24" fillId="25" borderId="12" xfId="0" applyFont="1" applyFill="1" applyBorder="1" applyAlignment="1">
      <alignment horizontal="center" vertical="center"/>
    </xf>
    <xf numFmtId="0" fontId="24" fillId="25" borderId="22" xfId="0" applyFont="1" applyFill="1" applyBorder="1" applyAlignment="1">
      <alignment horizontal="center" vertical="center"/>
    </xf>
    <xf numFmtId="0" fontId="24" fillId="25" borderId="23" xfId="0" applyFont="1" applyFill="1" applyBorder="1" applyAlignment="1">
      <alignment horizontal="center" vertical="center"/>
    </xf>
    <xf numFmtId="2" fontId="10" fillId="0" borderId="12" xfId="2" applyNumberFormat="1" applyFont="1" applyBorder="1" applyAlignment="1">
      <alignment horizontal="center" vertical="center" wrapText="1"/>
    </xf>
    <xf numFmtId="2" fontId="10" fillId="0" borderId="23" xfId="2" applyNumberFormat="1" applyFont="1" applyBorder="1" applyAlignment="1">
      <alignment horizontal="center" vertical="center" wrapText="1"/>
    </xf>
    <xf numFmtId="2" fontId="10" fillId="0" borderId="12" xfId="2" applyNumberFormat="1" applyFont="1" applyBorder="1" applyAlignment="1">
      <alignment horizontal="center" wrapText="1"/>
    </xf>
    <xf numFmtId="2" fontId="10" fillId="0" borderId="23" xfId="2" applyNumberFormat="1" applyFont="1"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4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46" xfId="0" applyBorder="1" applyAlignment="1">
      <alignment horizontal="left" vertical="center"/>
    </xf>
    <xf numFmtId="0" fontId="0" fillId="0" borderId="22" xfId="0" applyBorder="1" applyAlignment="1">
      <alignment horizontal="left"/>
    </xf>
    <xf numFmtId="172" fontId="0" fillId="0" borderId="12" xfId="0" applyNumberFormat="1" applyBorder="1" applyAlignment="1">
      <alignment horizontal="right"/>
    </xf>
    <xf numFmtId="172" fontId="0" fillId="0" borderId="22" xfId="0" applyNumberFormat="1" applyBorder="1" applyAlignment="1">
      <alignment horizontal="right"/>
    </xf>
    <xf numFmtId="172" fontId="0" fillId="0" borderId="23" xfId="0" applyNumberFormat="1" applyBorder="1" applyAlignment="1">
      <alignment horizontal="right"/>
    </xf>
    <xf numFmtId="165" fontId="10" fillId="2" borderId="8" xfId="2" applyFont="1" applyFill="1" applyBorder="1" applyAlignment="1" applyProtection="1">
      <alignment horizontal="center" vertical="center"/>
      <protection locked="0"/>
    </xf>
    <xf numFmtId="165" fontId="10" fillId="2" borderId="9" xfId="2" applyFont="1" applyFill="1" applyBorder="1" applyAlignment="1" applyProtection="1">
      <alignment horizontal="center" vertical="center"/>
      <protection locked="0"/>
    </xf>
    <xf numFmtId="165" fontId="10" fillId="2" borderId="45" xfId="2" applyFont="1" applyFill="1" applyBorder="1" applyAlignment="1" applyProtection="1">
      <alignment horizontal="center" vertical="center"/>
      <protection locked="0"/>
    </xf>
    <xf numFmtId="165" fontId="10" fillId="2" borderId="10" xfId="2" applyFont="1" applyFill="1" applyBorder="1" applyAlignment="1" applyProtection="1">
      <alignment horizontal="center" vertical="center"/>
      <protection locked="0"/>
    </xf>
    <xf numFmtId="165" fontId="10" fillId="2" borderId="11" xfId="2" applyFont="1" applyFill="1" applyBorder="1" applyAlignment="1" applyProtection="1">
      <alignment horizontal="center" vertical="center"/>
      <protection locked="0"/>
    </xf>
    <xf numFmtId="165" fontId="10" fillId="2" borderId="46" xfId="2" applyFont="1" applyFill="1" applyBorder="1" applyAlignment="1" applyProtection="1">
      <alignment horizontal="center" vertical="center"/>
      <protection locked="0"/>
    </xf>
    <xf numFmtId="172" fontId="0" fillId="0" borderId="42" xfId="0" applyNumberFormat="1" applyBorder="1" applyAlignment="1">
      <alignment horizontal="right" vertical="center"/>
    </xf>
    <xf numFmtId="172" fontId="0" fillId="0" borderId="44" xfId="0" applyNumberFormat="1" applyBorder="1" applyAlignment="1">
      <alignment horizontal="right" vertical="center"/>
    </xf>
    <xf numFmtId="0" fontId="0" fillId="0" borderId="12" xfId="0" applyBorder="1" applyAlignment="1">
      <alignment horizontal="right"/>
    </xf>
    <xf numFmtId="0" fontId="0" fillId="0" borderId="23" xfId="0" applyBorder="1" applyAlignment="1">
      <alignment horizontal="right"/>
    </xf>
    <xf numFmtId="0" fontId="0" fillId="26" borderId="12" xfId="0" applyFill="1" applyBorder="1" applyAlignment="1">
      <alignment horizontal="left"/>
    </xf>
    <xf numFmtId="0" fontId="0" fillId="26" borderId="23" xfId="0" applyFill="1" applyBorder="1" applyAlignment="1">
      <alignment horizontal="left"/>
    </xf>
    <xf numFmtId="10" fontId="0" fillId="0" borderId="12" xfId="1" applyNumberFormat="1" applyFont="1" applyBorder="1" applyAlignment="1" applyProtection="1">
      <alignment horizontal="right"/>
    </xf>
    <xf numFmtId="10" fontId="0" fillId="0" borderId="22" xfId="1" applyNumberFormat="1" applyFont="1" applyBorder="1" applyAlignment="1" applyProtection="1">
      <alignment horizontal="right"/>
    </xf>
    <xf numFmtId="10" fontId="0" fillId="0" borderId="23" xfId="1" applyNumberFormat="1" applyFont="1" applyBorder="1" applyAlignment="1" applyProtection="1">
      <alignment horizontal="right"/>
    </xf>
    <xf numFmtId="10" fontId="0" fillId="0" borderId="42" xfId="1" applyNumberFormat="1" applyFont="1" applyBorder="1" applyAlignment="1" applyProtection="1">
      <alignment horizontal="center" vertical="center"/>
    </xf>
    <xf numFmtId="10" fontId="0" fillId="0" borderId="44" xfId="1" applyNumberFormat="1" applyFont="1" applyBorder="1" applyAlignment="1" applyProtection="1">
      <alignment horizontal="center" vertical="center"/>
    </xf>
    <xf numFmtId="0" fontId="0" fillId="0" borderId="0" xfId="0" applyAlignment="1">
      <alignment horizontal="left" wrapText="1"/>
    </xf>
    <xf numFmtId="0" fontId="15" fillId="9" borderId="1" xfId="0" applyFont="1" applyFill="1" applyBorder="1" applyAlignment="1">
      <alignment horizontal="center" vertical="center" wrapText="1"/>
    </xf>
    <xf numFmtId="0" fontId="0" fillId="26" borderId="22" xfId="0" applyFill="1" applyBorder="1" applyAlignment="1">
      <alignment horizontal="left"/>
    </xf>
    <xf numFmtId="165" fontId="10" fillId="9" borderId="42" xfId="2" applyFont="1" applyFill="1" applyBorder="1" applyAlignment="1">
      <alignment horizontal="center" vertical="center"/>
    </xf>
    <xf numFmtId="165" fontId="10" fillId="9" borderId="43" xfId="2" applyFont="1" applyFill="1" applyBorder="1" applyAlignment="1">
      <alignment horizontal="center" vertical="center"/>
    </xf>
    <xf numFmtId="165" fontId="10" fillId="9" borderId="44" xfId="2" applyFont="1" applyFill="1" applyBorder="1" applyAlignment="1">
      <alignment horizontal="center" vertical="center"/>
    </xf>
    <xf numFmtId="0" fontId="11" fillId="18" borderId="1" xfId="0" applyFont="1" applyFill="1" applyBorder="1" applyAlignment="1">
      <alignment horizontal="center" wrapText="1"/>
    </xf>
    <xf numFmtId="1" fontId="12" fillId="0" borderId="1" xfId="0" applyNumberFormat="1" applyFont="1" applyBorder="1" applyAlignment="1">
      <alignment horizontal="center" vertical="center"/>
    </xf>
    <xf numFmtId="0" fontId="2" fillId="0" borderId="1" xfId="0" applyFont="1" applyBorder="1" applyAlignment="1">
      <alignment horizontal="center"/>
    </xf>
    <xf numFmtId="165" fontId="18" fillId="9" borderId="1" xfId="2" applyFont="1" applyFill="1" applyBorder="1" applyAlignment="1">
      <alignment horizontal="center" vertical="center"/>
    </xf>
    <xf numFmtId="165" fontId="17" fillId="9" borderId="1" xfId="2" applyFont="1" applyFill="1" applyBorder="1" applyAlignment="1">
      <alignment horizontal="center" vertical="center"/>
    </xf>
    <xf numFmtId="165" fontId="17" fillId="10" borderId="17" xfId="2" applyFont="1" applyFill="1" applyBorder="1" applyAlignment="1">
      <alignment horizontal="center" vertical="center"/>
    </xf>
    <xf numFmtId="165" fontId="17" fillId="10" borderId="7" xfId="2" applyFont="1" applyFill="1" applyBorder="1" applyAlignment="1">
      <alignment horizontal="center" vertical="center"/>
    </xf>
    <xf numFmtId="165" fontId="17" fillId="10" borderId="15" xfId="2" applyFont="1" applyFill="1" applyBorder="1" applyAlignment="1">
      <alignment horizontal="center" vertical="center"/>
    </xf>
    <xf numFmtId="165" fontId="8" fillId="10" borderId="1" xfId="2" applyFont="1" applyFill="1" applyBorder="1" applyAlignment="1">
      <alignment horizontal="center" vertical="center"/>
    </xf>
    <xf numFmtId="165" fontId="8" fillId="10" borderId="1" xfId="2" applyFont="1" applyFill="1" applyBorder="1" applyAlignment="1">
      <alignment horizontal="center" vertical="center" wrapText="1"/>
    </xf>
    <xf numFmtId="165" fontId="17" fillId="0" borderId="19" xfId="2" applyFont="1" applyBorder="1" applyAlignment="1">
      <alignment horizontal="center" vertical="center" wrapText="1"/>
    </xf>
    <xf numFmtId="165" fontId="17" fillId="0" borderId="13" xfId="2" applyFont="1" applyBorder="1" applyAlignment="1">
      <alignment horizontal="center" vertical="center" wrapText="1"/>
    </xf>
    <xf numFmtId="165" fontId="17" fillId="0" borderId="21" xfId="2" applyFont="1" applyBorder="1" applyAlignment="1">
      <alignment horizontal="center" vertical="center" wrapText="1"/>
    </xf>
    <xf numFmtId="165" fontId="17" fillId="0" borderId="0" xfId="2" applyFont="1" applyAlignment="1">
      <alignment horizontal="center" vertical="center" wrapText="1"/>
    </xf>
    <xf numFmtId="165" fontId="17" fillId="0" borderId="17" xfId="2" applyFont="1" applyBorder="1" applyAlignment="1">
      <alignment horizontal="center" vertical="center" wrapText="1"/>
    </xf>
    <xf numFmtId="165" fontId="17" fillId="0" borderId="7" xfId="2" applyFont="1" applyBorder="1" applyAlignment="1">
      <alignment horizontal="center" vertical="center" wrapText="1"/>
    </xf>
    <xf numFmtId="165" fontId="10" fillId="0" borderId="2" xfId="2" applyFont="1" applyBorder="1" applyAlignment="1">
      <alignment vertical="center"/>
    </xf>
    <xf numFmtId="165" fontId="10" fillId="0" borderId="5" xfId="2" applyFont="1" applyBorder="1" applyAlignment="1">
      <alignment vertical="center"/>
    </xf>
    <xf numFmtId="165" fontId="10" fillId="0" borderId="6" xfId="2" applyFont="1" applyBorder="1" applyAlignment="1">
      <alignment vertical="center"/>
    </xf>
    <xf numFmtId="165" fontId="17" fillId="0" borderId="1" xfId="2" applyFont="1" applyBorder="1" applyAlignment="1">
      <alignment horizontal="center" vertical="center" wrapText="1"/>
    </xf>
    <xf numFmtId="165" fontId="10" fillId="0" borderId="1" xfId="2" applyFont="1" applyBorder="1" applyAlignment="1">
      <alignment horizontal="left" vertical="center"/>
    </xf>
    <xf numFmtId="173" fontId="10" fillId="0" borderId="1" xfId="2" applyNumberFormat="1" applyFont="1" applyBorder="1" applyAlignment="1">
      <alignment horizontal="right" vertical="center"/>
    </xf>
    <xf numFmtId="173" fontId="17" fillId="11" borderId="1" xfId="2" applyNumberFormat="1" applyFont="1" applyFill="1" applyBorder="1" applyAlignment="1">
      <alignment horizontal="right" vertical="center"/>
    </xf>
    <xf numFmtId="165" fontId="10" fillId="0" borderId="2" xfId="2" applyFont="1" applyBorder="1" applyAlignment="1">
      <alignment horizontal="left" vertical="center"/>
    </xf>
    <xf numFmtId="165" fontId="10" fillId="0" borderId="5" xfId="2" applyFont="1" applyBorder="1" applyAlignment="1">
      <alignment horizontal="left" vertical="center"/>
    </xf>
    <xf numFmtId="165" fontId="10" fillId="0" borderId="6" xfId="2" applyFont="1" applyBorder="1" applyAlignment="1">
      <alignment horizontal="left" vertical="center"/>
    </xf>
    <xf numFmtId="165" fontId="8" fillId="15" borderId="19" xfId="2" applyFont="1" applyFill="1" applyBorder="1" applyAlignment="1">
      <alignment horizontal="left" vertical="center"/>
    </xf>
    <xf numFmtId="165" fontId="8" fillId="15" borderId="13" xfId="2" applyFont="1" applyFill="1" applyBorder="1" applyAlignment="1">
      <alignment horizontal="left" vertical="center"/>
    </xf>
    <xf numFmtId="165" fontId="8" fillId="15" borderId="20" xfId="2" applyFont="1" applyFill="1" applyBorder="1" applyAlignment="1">
      <alignment horizontal="left" vertical="center"/>
    </xf>
    <xf numFmtId="165" fontId="8" fillId="15" borderId="1" xfId="2" applyFont="1" applyFill="1" applyBorder="1" applyAlignment="1">
      <alignment horizontal="left" vertical="center"/>
    </xf>
    <xf numFmtId="165" fontId="10" fillId="0" borderId="1" xfId="2" applyFont="1" applyBorder="1" applyAlignment="1">
      <alignment horizontal="left" vertical="center" wrapText="1"/>
    </xf>
    <xf numFmtId="165" fontId="8" fillId="15" borderId="2" xfId="2" applyFont="1" applyFill="1" applyBorder="1" applyAlignment="1">
      <alignment horizontal="left" vertical="center"/>
    </xf>
    <xf numFmtId="165" fontId="8" fillId="15" borderId="5" xfId="2" applyFont="1" applyFill="1" applyBorder="1" applyAlignment="1">
      <alignment horizontal="left" vertical="center"/>
    </xf>
    <xf numFmtId="165" fontId="8" fillId="15" borderId="6" xfId="2" applyFont="1" applyFill="1" applyBorder="1" applyAlignment="1">
      <alignment horizontal="left" vertical="center"/>
    </xf>
    <xf numFmtId="165" fontId="10" fillId="0" borderId="2" xfId="2" applyFont="1" applyBorder="1" applyAlignment="1">
      <alignment horizontal="left" vertical="center" wrapText="1"/>
    </xf>
    <xf numFmtId="165" fontId="10" fillId="0" borderId="5" xfId="2" applyFont="1" applyBorder="1" applyAlignment="1">
      <alignment horizontal="left" vertical="center" wrapText="1"/>
    </xf>
    <xf numFmtId="165" fontId="10" fillId="0" borderId="6" xfId="2" applyFont="1" applyBorder="1" applyAlignment="1">
      <alignment horizontal="left" vertical="center" wrapText="1"/>
    </xf>
    <xf numFmtId="165" fontId="18" fillId="0" borderId="0" xfId="2" applyFont="1" applyAlignment="1">
      <alignment horizontal="center" vertical="center" wrapText="1"/>
    </xf>
    <xf numFmtId="165" fontId="17" fillId="0" borderId="0" xfId="2" applyFont="1" applyAlignment="1">
      <alignment horizontal="left" vertical="center"/>
    </xf>
    <xf numFmtId="169" fontId="10" fillId="0" borderId="0" xfId="2" applyNumberFormat="1" applyFont="1" applyAlignment="1">
      <alignment horizontal="right" vertical="center"/>
    </xf>
    <xf numFmtId="165" fontId="17" fillId="14" borderId="1" xfId="2"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22" xfId="0" applyFont="1" applyFill="1" applyBorder="1" applyAlignment="1">
      <alignment horizontal="center" vertical="center" wrapText="1"/>
    </xf>
    <xf numFmtId="0" fontId="2" fillId="15" borderId="23" xfId="0" applyFont="1" applyFill="1" applyBorder="1" applyAlignment="1">
      <alignment horizontal="center" vertical="center" wrapText="1"/>
    </xf>
    <xf numFmtId="165" fontId="17" fillId="14" borderId="8" xfId="2" applyFont="1" applyFill="1" applyBorder="1" applyAlignment="1">
      <alignment horizontal="center" vertical="center" wrapText="1"/>
    </xf>
    <xf numFmtId="165" fontId="17" fillId="14" borderId="9" xfId="2" applyFont="1" applyFill="1" applyBorder="1" applyAlignment="1">
      <alignment horizontal="center" vertical="center" wrapText="1"/>
    </xf>
    <xf numFmtId="165" fontId="17" fillId="14" borderId="45" xfId="2" applyFont="1" applyFill="1" applyBorder="1" applyAlignment="1">
      <alignment horizontal="center" vertical="center" wrapText="1"/>
    </xf>
    <xf numFmtId="165" fontId="17" fillId="14" borderId="24" xfId="2" applyFont="1" applyFill="1" applyBorder="1" applyAlignment="1">
      <alignment horizontal="center" vertical="center" wrapText="1"/>
    </xf>
    <xf numFmtId="165" fontId="17" fillId="14" borderId="0" xfId="2" applyFont="1" applyFill="1" applyAlignment="1">
      <alignment horizontal="center" vertical="center" wrapText="1"/>
    </xf>
    <xf numFmtId="165" fontId="17" fillId="14" borderId="67" xfId="2" applyFont="1" applyFill="1" applyBorder="1" applyAlignment="1">
      <alignment horizontal="center" vertical="center" wrapText="1"/>
    </xf>
    <xf numFmtId="165" fontId="17" fillId="14" borderId="10" xfId="2" applyFont="1" applyFill="1" applyBorder="1" applyAlignment="1">
      <alignment horizontal="center" vertical="center" wrapText="1"/>
    </xf>
    <xf numFmtId="165" fontId="17" fillId="14" borderId="11" xfId="2" applyFont="1" applyFill="1" applyBorder="1" applyAlignment="1">
      <alignment horizontal="center" vertical="center" wrapText="1"/>
    </xf>
    <xf numFmtId="165" fontId="17" fillId="14" borderId="46" xfId="2" applyFont="1" applyFill="1" applyBorder="1" applyAlignment="1">
      <alignment horizontal="center" vertical="center" wrapText="1"/>
    </xf>
    <xf numFmtId="165" fontId="17" fillId="14" borderId="12" xfId="2" applyFont="1" applyFill="1" applyBorder="1" applyAlignment="1">
      <alignment horizontal="center" vertical="center" wrapText="1"/>
    </xf>
    <xf numFmtId="165" fontId="17" fillId="14" borderId="23" xfId="2" applyFont="1" applyFill="1" applyBorder="1" applyAlignment="1">
      <alignment horizontal="center" vertical="center" wrapText="1"/>
    </xf>
    <xf numFmtId="165" fontId="17" fillId="14" borderId="42" xfId="2" applyFont="1" applyFill="1" applyBorder="1" applyAlignment="1">
      <alignment horizontal="center" vertical="center" wrapText="1"/>
    </xf>
    <xf numFmtId="165" fontId="17" fillId="14" borderId="44" xfId="2" applyFont="1" applyFill="1" applyBorder="1" applyAlignment="1">
      <alignment horizontal="center" vertical="center" wrapText="1"/>
    </xf>
    <xf numFmtId="165" fontId="10" fillId="0" borderId="12" xfId="2" applyFont="1" applyBorder="1" applyAlignment="1">
      <alignment horizontal="left" vertical="center" wrapText="1"/>
    </xf>
    <xf numFmtId="165" fontId="10" fillId="0" borderId="22" xfId="2" applyFont="1" applyBorder="1" applyAlignment="1">
      <alignment horizontal="left" vertical="center" wrapText="1"/>
    </xf>
    <xf numFmtId="165" fontId="10" fillId="0" borderId="23" xfId="2" applyFont="1" applyBorder="1" applyAlignment="1">
      <alignment horizontal="left" vertical="center" wrapText="1"/>
    </xf>
    <xf numFmtId="165" fontId="17" fillId="14" borderId="80" xfId="2" applyFont="1" applyFill="1" applyBorder="1" applyAlignment="1">
      <alignment horizontal="center" vertical="center" wrapText="1"/>
    </xf>
    <xf numFmtId="165" fontId="17" fillId="14" borderId="22" xfId="2" applyFont="1" applyFill="1" applyBorder="1" applyAlignment="1">
      <alignment horizontal="center" vertical="center" wrapText="1"/>
    </xf>
    <xf numFmtId="0" fontId="2" fillId="15" borderId="42" xfId="0" applyFont="1" applyFill="1" applyBorder="1" applyAlignment="1">
      <alignment horizontal="center" vertical="center" wrapText="1"/>
    </xf>
    <xf numFmtId="0" fontId="2" fillId="15" borderId="44" xfId="0" applyFont="1" applyFill="1" applyBorder="1" applyAlignment="1">
      <alignment horizontal="center" vertical="center" wrapText="1"/>
    </xf>
    <xf numFmtId="0" fontId="0" fillId="0" borderId="7" xfId="0" applyBorder="1" applyAlignment="1">
      <alignment horizontal="left" wrapText="1"/>
    </xf>
    <xf numFmtId="165" fontId="20" fillId="0" borderId="0" xfId="2" applyFont="1" applyAlignment="1">
      <alignment horizontal="left" vertical="center"/>
    </xf>
    <xf numFmtId="165" fontId="7" fillId="0" borderId="81" xfId="2" applyFont="1" applyBorder="1" applyAlignment="1">
      <alignment horizontal="left" vertical="center"/>
    </xf>
    <xf numFmtId="165" fontId="8" fillId="0" borderId="0" xfId="2" applyFont="1" applyAlignment="1">
      <alignment horizontal="left" vertical="center"/>
    </xf>
    <xf numFmtId="165" fontId="18" fillId="8" borderId="18" xfId="2" applyFont="1" applyFill="1" applyBorder="1" applyAlignment="1">
      <alignment horizontal="left" vertical="center"/>
    </xf>
    <xf numFmtId="0" fontId="0" fillId="0" borderId="40" xfId="0" applyBorder="1" applyAlignment="1">
      <alignment horizontal="left" vertical="center" wrapText="1"/>
    </xf>
    <xf numFmtId="0" fontId="0" fillId="0" borderId="22" xfId="0" applyBorder="1" applyAlignment="1">
      <alignment horizontal="left" wrapText="1"/>
    </xf>
    <xf numFmtId="165" fontId="42" fillId="0" borderId="0" xfId="2" applyFont="1" applyAlignment="1">
      <alignment horizontal="left" vertical="center"/>
    </xf>
    <xf numFmtId="165" fontId="20" fillId="0" borderId="40" xfId="2" applyFont="1" applyBorder="1" applyAlignment="1">
      <alignment horizontal="left" vertical="center"/>
    </xf>
    <xf numFmtId="165" fontId="20" fillId="16" borderId="0" xfId="2" applyFont="1" applyFill="1" applyAlignment="1">
      <alignment horizontal="left" vertical="center"/>
    </xf>
    <xf numFmtId="165" fontId="8" fillId="0" borderId="9" xfId="2" applyFont="1" applyBorder="1" applyAlignment="1">
      <alignment horizontal="left" vertical="center"/>
    </xf>
    <xf numFmtId="0" fontId="5" fillId="0" borderId="6" xfId="6" applyBorder="1" applyProtection="1">
      <protection locked="0"/>
    </xf>
    <xf numFmtId="0" fontId="5" fillId="0" borderId="7" xfId="6" applyBorder="1"/>
    <xf numFmtId="168" fontId="39" fillId="32" borderId="3" xfId="2" applyNumberFormat="1" applyFont="1" applyFill="1" applyBorder="1" applyAlignment="1">
      <alignment horizontal="center" wrapText="1"/>
    </xf>
    <xf numFmtId="0" fontId="2" fillId="9" borderId="12" xfId="0" applyFont="1" applyFill="1" applyBorder="1" applyAlignment="1">
      <alignment horizontal="center"/>
    </xf>
    <xf numFmtId="0" fontId="2" fillId="9" borderId="23" xfId="0" applyFont="1" applyFill="1" applyBorder="1" applyAlignment="1">
      <alignment horizontal="center"/>
    </xf>
    <xf numFmtId="0" fontId="0" fillId="0" borderId="1" xfId="0" applyBorder="1" applyAlignment="1">
      <alignment horizontal="left" vertical="center"/>
    </xf>
    <xf numFmtId="0" fontId="2" fillId="9" borderId="22" xfId="0" applyFont="1" applyFill="1" applyBorder="1" applyAlignment="1">
      <alignment horizontal="center"/>
    </xf>
    <xf numFmtId="0" fontId="2" fillId="9" borderId="1" xfId="0" applyFont="1" applyFill="1" applyBorder="1" applyAlignment="1">
      <alignment horizontal="center"/>
    </xf>
    <xf numFmtId="0" fontId="47" fillId="26" borderId="9" xfId="0" applyFont="1" applyFill="1" applyBorder="1" applyAlignment="1">
      <alignment horizontal="center" vertical="center" wrapText="1"/>
    </xf>
    <xf numFmtId="0" fontId="47" fillId="26" borderId="78" xfId="0" applyFont="1" applyFill="1" applyBorder="1" applyAlignment="1">
      <alignment horizontal="center" vertical="center" wrapText="1"/>
    </xf>
    <xf numFmtId="2" fontId="0" fillId="40" borderId="32" xfId="0" applyNumberFormat="1" applyFill="1" applyBorder="1" applyAlignment="1">
      <alignment horizontal="center"/>
    </xf>
    <xf numFmtId="2" fontId="0" fillId="40" borderId="30" xfId="0" applyNumberFormat="1" applyFill="1" applyBorder="1" applyAlignment="1">
      <alignment horizontal="center"/>
    </xf>
    <xf numFmtId="0" fontId="32" fillId="25" borderId="87" xfId="0" applyFont="1" applyFill="1" applyBorder="1" applyAlignment="1">
      <alignment horizontal="center"/>
    </xf>
    <xf numFmtId="0" fontId="32" fillId="25" borderId="64" xfId="0" applyFont="1" applyFill="1" applyBorder="1" applyAlignment="1">
      <alignment horizontal="center"/>
    </xf>
    <xf numFmtId="0" fontId="21" fillId="25" borderId="82" xfId="0" applyFont="1" applyFill="1" applyBorder="1" applyAlignment="1">
      <alignment horizontal="center" vertical="center"/>
    </xf>
    <xf numFmtId="0" fontId="21" fillId="25" borderId="76" xfId="0" applyFont="1" applyFill="1" applyBorder="1" applyAlignment="1">
      <alignment horizontal="center" vertical="center"/>
    </xf>
    <xf numFmtId="0" fontId="21" fillId="25" borderId="77" xfId="0" applyFont="1" applyFill="1" applyBorder="1" applyAlignment="1">
      <alignment horizontal="center" vertical="center"/>
    </xf>
    <xf numFmtId="0" fontId="2" fillId="34" borderId="55" xfId="0" applyFont="1" applyFill="1" applyBorder="1" applyAlignment="1">
      <alignment horizontal="left"/>
    </xf>
    <xf numFmtId="0" fontId="2" fillId="34" borderId="1" xfId="0" applyFont="1" applyFill="1" applyBorder="1" applyAlignment="1">
      <alignment horizontal="left"/>
    </xf>
    <xf numFmtId="0" fontId="33" fillId="25" borderId="26" xfId="0" applyFont="1" applyFill="1" applyBorder="1" applyAlignment="1">
      <alignment horizontal="center" vertical="center"/>
    </xf>
    <xf numFmtId="2" fontId="0" fillId="40" borderId="87" xfId="0" applyNumberFormat="1" applyFill="1" applyBorder="1" applyAlignment="1">
      <alignment horizontal="center"/>
    </xf>
    <xf numFmtId="2" fontId="0" fillId="40" borderId="64" xfId="0" applyNumberFormat="1" applyFill="1" applyBorder="1" applyAlignment="1">
      <alignment horizontal="center"/>
    </xf>
    <xf numFmtId="0" fontId="0" fillId="0" borderId="0" xfId="0" applyAlignment="1">
      <alignment horizontal="center"/>
    </xf>
    <xf numFmtId="2" fontId="0" fillId="40" borderId="12" xfId="0" applyNumberFormat="1" applyFill="1" applyBorder="1" applyAlignment="1">
      <alignment horizontal="center"/>
    </xf>
    <xf numFmtId="2" fontId="0" fillId="40" borderId="23" xfId="0" applyNumberFormat="1" applyFill="1" applyBorder="1" applyAlignment="1">
      <alignment horizontal="center"/>
    </xf>
    <xf numFmtId="2" fontId="0" fillId="40" borderId="33" xfId="0" applyNumberFormat="1" applyFill="1" applyBorder="1" applyAlignment="1">
      <alignment horizontal="center"/>
    </xf>
    <xf numFmtId="2" fontId="0" fillId="40" borderId="31" xfId="0" applyNumberFormat="1" applyFill="1"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26" fillId="0" borderId="82" xfId="0" applyFont="1" applyBorder="1" applyAlignment="1">
      <alignment horizontal="center" vertical="center"/>
    </xf>
    <xf numFmtId="0" fontId="26" fillId="0" borderId="77" xfId="0" applyFont="1" applyBorder="1" applyAlignment="1">
      <alignment horizontal="center" vertical="center"/>
    </xf>
    <xf numFmtId="0" fontId="0" fillId="34" borderId="55" xfId="0" applyFill="1" applyBorder="1" applyAlignment="1">
      <alignment horizontal="left"/>
    </xf>
    <xf numFmtId="0" fontId="0" fillId="34" borderId="1" xfId="0" applyFill="1" applyBorder="1" applyAlignment="1">
      <alignment horizontal="left"/>
    </xf>
    <xf numFmtId="0" fontId="8" fillId="0" borderId="76" xfId="0" applyFont="1" applyBorder="1" applyAlignment="1">
      <alignment horizontal="center" wrapText="1"/>
    </xf>
    <xf numFmtId="0" fontId="8" fillId="0" borderId="0" xfId="0" applyFont="1" applyAlignment="1">
      <alignment horizontal="center" wrapText="1"/>
    </xf>
    <xf numFmtId="0" fontId="8" fillId="0" borderId="75" xfId="0" applyFont="1" applyBorder="1" applyAlignment="1">
      <alignment horizontal="center" wrapText="1"/>
    </xf>
    <xf numFmtId="0" fontId="8" fillId="0" borderId="0" xfId="0" applyFont="1" applyAlignment="1">
      <alignment horizontal="center"/>
    </xf>
    <xf numFmtId="0" fontId="0" fillId="0" borderId="0" xfId="0" applyAlignment="1">
      <alignment horizontal="left" vertical="top" wrapText="1"/>
    </xf>
    <xf numFmtId="2" fontId="56" fillId="42" borderId="103" xfId="0" applyNumberFormat="1" applyFont="1" applyFill="1" applyBorder="1" applyAlignment="1">
      <alignment horizontal="center" vertical="center"/>
    </xf>
    <xf numFmtId="2" fontId="56" fillId="42" borderId="102" xfId="0" applyNumberFormat="1" applyFont="1" applyFill="1" applyBorder="1" applyAlignment="1">
      <alignment horizontal="center" vertical="center"/>
    </xf>
    <xf numFmtId="0" fontId="8" fillId="0" borderId="82" xfId="0" applyFont="1" applyBorder="1" applyAlignment="1">
      <alignment horizontal="center" wrapText="1"/>
    </xf>
    <xf numFmtId="0" fontId="8" fillId="0" borderId="83" xfId="0" applyFont="1" applyBorder="1" applyAlignment="1">
      <alignment horizontal="center" wrapText="1"/>
    </xf>
    <xf numFmtId="0" fontId="8" fillId="0" borderId="84" xfId="0" applyFont="1" applyBorder="1" applyAlignment="1">
      <alignment horizontal="center" wrapText="1"/>
    </xf>
    <xf numFmtId="0" fontId="0" fillId="0" borderId="0" xfId="0" applyAlignment="1">
      <alignment horizontal="right" indent="2"/>
    </xf>
    <xf numFmtId="0" fontId="0" fillId="0" borderId="0" xfId="0" quotePrefix="1" applyAlignment="1">
      <alignment horizontal="right" indent="2"/>
    </xf>
    <xf numFmtId="0" fontId="0" fillId="0" borderId="0" xfId="6" applyFont="1" applyAlignment="1">
      <alignment horizontal="left" wrapText="1"/>
    </xf>
    <xf numFmtId="0" fontId="1" fillId="0" borderId="0" xfId="6" applyFont="1" applyAlignment="1">
      <alignment horizontal="left" wrapText="1"/>
    </xf>
    <xf numFmtId="0" fontId="0" fillId="0" borderId="0" xfId="0" applyAlignment="1">
      <alignment horizontal="left" vertical="center" wrapText="1" indent="8"/>
    </xf>
    <xf numFmtId="0" fontId="0" fillId="0" borderId="0" xfId="0" applyAlignment="1">
      <alignment horizontal="left" wrapText="1" indent="8"/>
    </xf>
    <xf numFmtId="0" fontId="2" fillId="0" borderId="0" xfId="0" applyFont="1" applyAlignment="1">
      <alignment horizontal="left" wrapText="1" indent="8"/>
    </xf>
    <xf numFmtId="0" fontId="13" fillId="0" borderId="0" xfId="0" applyFont="1" applyAlignment="1">
      <alignment horizontal="left" vertical="top" wrapText="1"/>
    </xf>
    <xf numFmtId="0" fontId="2" fillId="0" borderId="0" xfId="0" applyFont="1" applyAlignment="1">
      <alignment horizontal="left" vertical="center" wrapText="1" indent="7"/>
    </xf>
    <xf numFmtId="0" fontId="13" fillId="0" borderId="0" xfId="0" applyFont="1" applyAlignment="1">
      <alignment horizontal="center"/>
    </xf>
    <xf numFmtId="0" fontId="2" fillId="0" borderId="0" xfId="0" applyFont="1" applyAlignment="1">
      <alignment horizontal="left" vertical="center" wrapText="1"/>
    </xf>
    <xf numFmtId="0" fontId="13" fillId="0" borderId="0" xfId="0" applyFont="1" applyAlignment="1">
      <alignment horizontal="left" vertical="center" wrapText="1" indent="8"/>
    </xf>
    <xf numFmtId="0" fontId="14" fillId="0" borderId="0" xfId="0" applyFont="1" applyAlignment="1">
      <alignment horizontal="left" vertical="center" wrapText="1"/>
    </xf>
    <xf numFmtId="0" fontId="13" fillId="0" borderId="0" xfId="0" applyFont="1" applyAlignment="1">
      <alignment horizontal="left" wrapText="1" indent="8"/>
    </xf>
    <xf numFmtId="0" fontId="14" fillId="0" borderId="0" xfId="0" applyFont="1" applyAlignment="1">
      <alignment horizontal="left" wrapText="1" indent="8"/>
    </xf>
    <xf numFmtId="0" fontId="14" fillId="0" borderId="0" xfId="0" applyFont="1" applyAlignment="1">
      <alignment horizontal="left"/>
    </xf>
    <xf numFmtId="0" fontId="13" fillId="0" borderId="0" xfId="0" applyFont="1" applyAlignment="1">
      <alignment horizontal="right" indent="2"/>
    </xf>
    <xf numFmtId="0" fontId="13" fillId="0" borderId="0" xfId="0" quotePrefix="1" applyFont="1" applyAlignment="1">
      <alignment horizontal="right" indent="2"/>
    </xf>
    <xf numFmtId="0" fontId="63" fillId="44" borderId="0" xfId="0" applyFont="1" applyFill="1" applyAlignment="1">
      <alignment horizontal="center" vertical="center"/>
    </xf>
    <xf numFmtId="0" fontId="8" fillId="0" borderId="82" xfId="0" applyFont="1" applyBorder="1" applyAlignment="1">
      <alignment horizontal="center"/>
    </xf>
    <xf numFmtId="0" fontId="8" fillId="0" borderId="83" xfId="0" applyFont="1" applyBorder="1" applyAlignment="1">
      <alignment horizontal="center"/>
    </xf>
    <xf numFmtId="0" fontId="8" fillId="0" borderId="84" xfId="0" applyFont="1" applyBorder="1" applyAlignment="1">
      <alignment horizontal="center"/>
    </xf>
    <xf numFmtId="0" fontId="10" fillId="0" borderId="63" xfId="0" applyFont="1" applyBorder="1" applyAlignment="1">
      <alignment horizontal="center"/>
    </xf>
    <xf numFmtId="0" fontId="10" fillId="0" borderId="105" xfId="0" applyFont="1" applyBorder="1" applyAlignment="1">
      <alignment horizontal="center"/>
    </xf>
    <xf numFmtId="0" fontId="10" fillId="0" borderId="104" xfId="0" applyFont="1" applyBorder="1" applyAlignment="1">
      <alignment horizontal="center"/>
    </xf>
    <xf numFmtId="0" fontId="18" fillId="23" borderId="0" xfId="0" applyFont="1" applyFill="1" applyAlignment="1">
      <alignment horizontal="center" vertical="center"/>
    </xf>
    <xf numFmtId="0" fontId="14" fillId="0" borderId="0" xfId="0" applyFont="1" applyAlignment="1">
      <alignment horizontal="left" vertical="top" wrapText="1"/>
    </xf>
    <xf numFmtId="0" fontId="34" fillId="0" borderId="0" xfId="0" quotePrefix="1" applyFont="1" applyAlignment="1">
      <alignment horizontal="center" vertical="center"/>
    </xf>
    <xf numFmtId="0" fontId="64" fillId="43" borderId="0" xfId="0" applyFont="1" applyFill="1" applyAlignment="1">
      <alignment horizontal="center" vertical="center"/>
    </xf>
  </cellXfs>
  <cellStyles count="11">
    <cellStyle name="Comma" xfId="7" builtinId="3"/>
    <cellStyle name="Comma 2" xfId="8" xr:uid="{FE3B5881-446A-4366-9478-B87AF7E6B98B}"/>
    <cellStyle name="Currency" xfId="9" builtinId="4"/>
    <cellStyle name="Excel Built-in Comma" xfId="3" xr:uid="{00000000-0005-0000-0000-000001000000}"/>
    <cellStyle name="Excel Built-in Normal" xfId="2" xr:uid="{00000000-0005-0000-0000-000002000000}"/>
    <cellStyle name="Excel Built-in Percent" xfId="4" xr:uid="{00000000-0005-0000-0000-000003000000}"/>
    <cellStyle name="Normal" xfId="0" builtinId="0"/>
    <cellStyle name="Normal 2" xfId="5" xr:uid="{00000000-0005-0000-0000-000005000000}"/>
    <cellStyle name="Normal 2 2" xfId="10" xr:uid="{2A63D680-CF88-4357-9AA9-02A0F2DE8FB5}"/>
    <cellStyle name="Normal 3" xfId="6" xr:uid="{00000000-0005-0000-0000-000006000000}"/>
    <cellStyle name="Percent" xfId="1" builtinId="5"/>
  </cellStyles>
  <dxfs count="18">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C000"/>
        </patternFill>
      </fill>
    </dxf>
    <dxf>
      <font>
        <color theme="2"/>
      </font>
      <fill>
        <gradientFill degree="90">
          <stop position="0">
            <color theme="0" tint="-5.0965910824915313E-2"/>
          </stop>
          <stop position="0.5">
            <color rgb="FFC00000"/>
          </stop>
          <stop position="1">
            <color theme="0" tint="-5.0965910824915313E-2"/>
          </stop>
        </gradientFill>
      </fill>
    </dxf>
    <dxf>
      <fill>
        <gradientFill degree="90">
          <stop position="0">
            <color theme="0" tint="-5.0965910824915313E-2"/>
          </stop>
          <stop position="0.5">
            <color theme="9"/>
          </stop>
          <stop position="1">
            <color theme="0" tint="-5.0965910824915313E-2"/>
          </stop>
        </gradientFill>
      </fill>
    </dxf>
    <dxf>
      <font>
        <color theme="2"/>
      </font>
      <fill>
        <gradientFill degree="90">
          <stop position="0">
            <color theme="0" tint="-0.1490218817712943"/>
          </stop>
          <stop position="0.5">
            <color rgb="FFC00000"/>
          </stop>
          <stop position="1">
            <color theme="0" tint="-0.1490218817712943"/>
          </stop>
        </gradientFill>
      </fill>
    </dxf>
    <dxf>
      <font>
        <color theme="1"/>
      </font>
      <fill>
        <gradientFill degree="90">
          <stop position="0">
            <color theme="0" tint="-0.1490218817712943"/>
          </stop>
          <stop position="0.5">
            <color theme="9" tint="0.40000610370189521"/>
          </stop>
          <stop position="1">
            <color theme="0" tint="-0.1490218817712943"/>
          </stop>
        </gradient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s>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224118</xdr:colOff>
      <xdr:row>0</xdr:row>
      <xdr:rowOff>246529</xdr:rowOff>
    </xdr:from>
    <xdr:ext cx="418680" cy="327600"/>
    <xdr:pic>
      <xdr:nvPicPr>
        <xdr:cNvPr id="13" name="Imag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alphaModFix/>
          <a:lum bright="20000" contrast="40000"/>
        </a:blip>
        <a:srcRect/>
        <a:stretch>
          <a:fillRect/>
        </a:stretch>
      </xdr:blipFill>
      <xdr:spPr>
        <a:xfrm>
          <a:off x="224118" y="246529"/>
          <a:ext cx="418680" cy="3276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1019173</xdr:colOff>
      <xdr:row>8</xdr:row>
      <xdr:rowOff>180975</xdr:rowOff>
    </xdr:from>
    <xdr:to>
      <xdr:col>6</xdr:col>
      <xdr:colOff>390524</xdr:colOff>
      <xdr:row>13</xdr:row>
      <xdr:rowOff>57150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6000748" y="3009900"/>
          <a:ext cx="2514601" cy="828675"/>
        </a:xfrm>
        <a:prstGeom prst="wedgeRectCallout">
          <a:avLst>
            <a:gd name="adj1" fmla="val -89861"/>
            <a:gd name="adj2" fmla="val -1437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100">
              <a:solidFill>
                <a:sysClr val="windowText" lastClr="000000"/>
              </a:solidFill>
            </a:rPr>
            <a:t>Il s'agit de faire le total</a:t>
          </a:r>
          <a:r>
            <a:rPr lang="fr-FR" sz="1100" baseline="0">
              <a:solidFill>
                <a:sysClr val="windowText" lastClr="000000"/>
              </a:solidFill>
            </a:rPr>
            <a:t> des heures de formations ET de supervisions dispensées</a:t>
          </a:r>
          <a:r>
            <a:rPr lang="fr-FR" sz="1100" baseline="0">
              <a:solidFill>
                <a:schemeClr val="tx1"/>
              </a:solidFill>
            </a:rPr>
            <a:t> </a:t>
          </a:r>
          <a:r>
            <a:rPr lang="fr-FR" sz="1100" baseline="0">
              <a:solidFill>
                <a:schemeClr val="tx1"/>
              </a:solidFill>
              <a:effectLst/>
              <a:latin typeface="+mn-lt"/>
              <a:ea typeface="+mn-ea"/>
              <a:cs typeface="+mn-cs"/>
            </a:rPr>
            <a:t>à l'ensemble </a:t>
          </a:r>
          <a:r>
            <a:rPr lang="fr-FR" sz="1100" baseline="0">
              <a:solidFill>
                <a:sysClr val="windowText" lastClr="000000"/>
              </a:solidFill>
            </a:rPr>
            <a:t>du personnel d'encadrement sur l'année considérée</a:t>
          </a:r>
        </a:p>
      </xdr:txBody>
    </xdr:sp>
    <xdr:clientData/>
  </xdr:twoCellAnchor>
  <xdr:twoCellAnchor>
    <xdr:from>
      <xdr:col>6</xdr:col>
      <xdr:colOff>352425</xdr:colOff>
      <xdr:row>32</xdr:row>
      <xdr:rowOff>9525</xdr:rowOff>
    </xdr:from>
    <xdr:to>
      <xdr:col>6</xdr:col>
      <xdr:colOff>561975</xdr:colOff>
      <xdr:row>35</xdr:row>
      <xdr:rowOff>0</xdr:rowOff>
    </xdr:to>
    <xdr:sp macro="" textlink="">
      <xdr:nvSpPr>
        <xdr:cNvPr id="3" name="Accolade fermante 2">
          <a:extLst>
            <a:ext uri="{FF2B5EF4-FFF2-40B4-BE49-F238E27FC236}">
              <a16:creationId xmlns:a16="http://schemas.microsoft.com/office/drawing/2014/main" id="{00000000-0008-0000-0700-000003000000}"/>
            </a:ext>
          </a:extLst>
        </xdr:cNvPr>
        <xdr:cNvSpPr/>
      </xdr:nvSpPr>
      <xdr:spPr>
        <a:xfrm>
          <a:off x="7277100" y="1647825"/>
          <a:ext cx="209550" cy="561975"/>
        </a:xfrm>
        <a:prstGeom prst="rightBrace">
          <a:avLst>
            <a:gd name="adj1" fmla="val 18859"/>
            <a:gd name="adj2" fmla="val 48361"/>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561975</xdr:colOff>
      <xdr:row>24</xdr:row>
      <xdr:rowOff>0</xdr:rowOff>
    </xdr:from>
    <xdr:to>
      <xdr:col>1</xdr:col>
      <xdr:colOff>676274</xdr:colOff>
      <xdr:row>37</xdr:row>
      <xdr:rowOff>180975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561975" y="4714875"/>
          <a:ext cx="904874" cy="2657475"/>
        </a:xfrm>
        <a:prstGeom prst="wedgeRectCallout">
          <a:avLst>
            <a:gd name="adj1" fmla="val -28830"/>
            <a:gd name="adj2" fmla="val -14775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100">
              <a:solidFill>
                <a:sysClr val="windowText" lastClr="000000"/>
              </a:solidFill>
            </a:rPr>
            <a:t>Introduire les </a:t>
          </a:r>
          <a:r>
            <a:rPr lang="fr-FR" sz="1100" b="1">
              <a:solidFill>
                <a:sysClr val="windowText" lastClr="000000"/>
              </a:solidFill>
            </a:rPr>
            <a:t>dates des périodes </a:t>
          </a:r>
          <a:r>
            <a:rPr lang="fr-FR" sz="1100">
              <a:solidFill>
                <a:sysClr val="windowText" lastClr="000000"/>
              </a:solidFill>
            </a:rPr>
            <a:t>:</a:t>
          </a:r>
        </a:p>
        <a:p>
          <a:pPr algn="l"/>
          <a:r>
            <a:rPr lang="fr-FR" sz="1100">
              <a:solidFill>
                <a:sysClr val="windowText" lastClr="000000"/>
              </a:solidFill>
            </a:rPr>
            <a:t>attention les </a:t>
          </a:r>
          <a:r>
            <a:rPr lang="fr-FR" sz="1100" baseline="0">
              <a:solidFill>
                <a:sysClr val="windowText" lastClr="000000"/>
              </a:solidFill>
            </a:rPr>
            <a:t> périodes doivent impératiment se suivre , ne pas se recouper et couvrir toute l'année.</a:t>
          </a:r>
          <a:endParaRPr lang="fr-FR" sz="1100">
            <a:solidFill>
              <a:sysClr val="windowText" lastClr="000000"/>
            </a:solidFill>
          </a:endParaRPr>
        </a:p>
      </xdr:txBody>
    </xdr:sp>
    <xdr:clientData/>
  </xdr:twoCellAnchor>
  <xdr:twoCellAnchor>
    <xdr:from>
      <xdr:col>1</xdr:col>
      <xdr:colOff>742949</xdr:colOff>
      <xdr:row>26</xdr:row>
      <xdr:rowOff>29442</xdr:rowOff>
    </xdr:from>
    <xdr:to>
      <xdr:col>3</xdr:col>
      <xdr:colOff>457199</xdr:colOff>
      <xdr:row>37</xdr:row>
      <xdr:rowOff>88363</xdr:rowOff>
    </xdr:to>
    <xdr:sp macro="" textlink="">
      <xdr:nvSpPr>
        <xdr:cNvPr id="3" name="Rectangle 2">
          <a:extLst>
            <a:ext uri="{FF2B5EF4-FFF2-40B4-BE49-F238E27FC236}">
              <a16:creationId xmlns:a16="http://schemas.microsoft.com/office/drawing/2014/main" id="{00000000-0008-0000-0400-000003000000}"/>
            </a:ext>
          </a:extLst>
        </xdr:cNvPr>
        <xdr:cNvSpPr/>
      </xdr:nvSpPr>
      <xdr:spPr>
        <a:xfrm>
          <a:off x="1533524" y="5125317"/>
          <a:ext cx="1295400" cy="2154421"/>
        </a:xfrm>
        <a:prstGeom prst="wedgeRectCallout">
          <a:avLst>
            <a:gd name="adj1" fmla="val -1075"/>
            <a:gd name="adj2" fmla="val -12458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100">
              <a:solidFill>
                <a:sysClr val="windowText" lastClr="000000"/>
              </a:solidFill>
            </a:rPr>
            <a:t>Le</a:t>
          </a:r>
          <a:r>
            <a:rPr lang="fr-FR" sz="1100" baseline="0">
              <a:solidFill>
                <a:sysClr val="windowText" lastClr="000000"/>
              </a:solidFill>
            </a:rPr>
            <a:t> </a:t>
          </a:r>
          <a:r>
            <a:rPr lang="fr-FR" sz="1100" b="1" baseline="0">
              <a:solidFill>
                <a:sysClr val="windowText" lastClr="000000"/>
              </a:solidFill>
            </a:rPr>
            <a:t>total des jours </a:t>
          </a:r>
          <a:r>
            <a:rPr lang="fr-FR" sz="1100" baseline="0">
              <a:solidFill>
                <a:sysClr val="windowText" lastClr="000000"/>
              </a:solidFill>
            </a:rPr>
            <a:t>de la période doit être impérativement égal aux nombres de jours de l'année</a:t>
          </a:r>
        </a:p>
        <a:p>
          <a:pPr algn="l"/>
          <a:endParaRPr lang="fr-FR" sz="1100">
            <a:solidFill>
              <a:sysClr val="windowText" lastClr="000000"/>
            </a:solidFill>
          </a:endParaRPr>
        </a:p>
      </xdr:txBody>
    </xdr:sp>
    <xdr:clientData/>
  </xdr:twoCellAnchor>
  <xdr:twoCellAnchor>
    <xdr:from>
      <xdr:col>3</xdr:col>
      <xdr:colOff>523005</xdr:colOff>
      <xdr:row>26</xdr:row>
      <xdr:rowOff>20784</xdr:rowOff>
    </xdr:from>
    <xdr:to>
      <xdr:col>11</xdr:col>
      <xdr:colOff>419100</xdr:colOff>
      <xdr:row>37</xdr:row>
      <xdr:rowOff>90317</xdr:rowOff>
    </xdr:to>
    <xdr:grpSp>
      <xdr:nvGrpSpPr>
        <xdr:cNvPr id="4" name="Groupe 3">
          <a:extLst>
            <a:ext uri="{FF2B5EF4-FFF2-40B4-BE49-F238E27FC236}">
              <a16:creationId xmlns:a16="http://schemas.microsoft.com/office/drawing/2014/main" id="{00000000-0008-0000-0400-000004000000}"/>
            </a:ext>
          </a:extLst>
        </xdr:cNvPr>
        <xdr:cNvGrpSpPr/>
      </xdr:nvGrpSpPr>
      <xdr:grpSpPr>
        <a:xfrm>
          <a:off x="2969025" y="4920444"/>
          <a:ext cx="6418815" cy="2081213"/>
          <a:chOff x="2839184" y="3771900"/>
          <a:chExt cx="5562601" cy="1417320"/>
        </a:xfrm>
      </xdr:grpSpPr>
      <xdr:sp macro="" textlink="">
        <xdr:nvSpPr>
          <xdr:cNvPr id="5" name="Rectangle 4">
            <a:extLst>
              <a:ext uri="{FF2B5EF4-FFF2-40B4-BE49-F238E27FC236}">
                <a16:creationId xmlns:a16="http://schemas.microsoft.com/office/drawing/2014/main" id="{00000000-0008-0000-0400-000005000000}"/>
              </a:ext>
            </a:extLst>
          </xdr:cNvPr>
          <xdr:cNvSpPr/>
        </xdr:nvSpPr>
        <xdr:spPr>
          <a:xfrm>
            <a:off x="2847975" y="3771900"/>
            <a:ext cx="981075" cy="1409700"/>
          </a:xfrm>
          <a:prstGeom prst="wedgeRectCallout">
            <a:avLst>
              <a:gd name="adj1" fmla="val -43652"/>
              <a:gd name="adj2" fmla="val -194647"/>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400-000006000000}"/>
              </a:ext>
            </a:extLst>
          </xdr:cNvPr>
          <xdr:cNvSpPr/>
        </xdr:nvSpPr>
        <xdr:spPr>
          <a:xfrm>
            <a:off x="2839184" y="3779520"/>
            <a:ext cx="5562601" cy="1409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1">
                <a:solidFill>
                  <a:sysClr val="windowText" lastClr="000000"/>
                </a:solidFill>
                <a:effectLst/>
                <a:latin typeface="+mn-lt"/>
                <a:ea typeface="+mn-ea"/>
                <a:cs typeface="+mn-cs"/>
              </a:rPr>
              <a:t>Tâche</a:t>
            </a:r>
            <a:r>
              <a:rPr lang="fr-FR" sz="1100" b="1" baseline="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a:t>
            </a:r>
            <a:r>
              <a:rPr lang="fr-FR" sz="1100" b="1" baseline="0">
                <a:solidFill>
                  <a:sysClr val="windowText" lastClr="000000"/>
                </a:solidFill>
                <a:effectLst/>
                <a:latin typeface="+mn-lt"/>
                <a:ea typeface="+mn-ea"/>
                <a:cs typeface="+mn-cs"/>
              </a:rPr>
              <a:t> </a:t>
            </a:r>
            <a:r>
              <a:rPr lang="fr-FR" sz="1100" baseline="0">
                <a:solidFill>
                  <a:sysClr val="windowText" lastClr="000000"/>
                </a:solidFill>
                <a:effectLst/>
                <a:latin typeface="+mn-lt"/>
                <a:ea typeface="+mn-ea"/>
                <a:cs typeface="+mn-cs"/>
              </a:rPr>
              <a:t> à introduire obligatoirement</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100%</a:t>
            </a:r>
            <a:r>
              <a:rPr lang="fr-FR" sz="1100" b="1" baseline="0">
                <a:solidFill>
                  <a:sysClr val="windowText" lastClr="000000"/>
                </a:solidFill>
                <a:effectLst/>
                <a:latin typeface="+mn-lt"/>
                <a:ea typeface="+mn-ea"/>
                <a:cs typeface="+mn-cs"/>
              </a:rPr>
              <a:t> </a:t>
            </a:r>
            <a:r>
              <a:rPr lang="fr-FR" sz="1100" baseline="0">
                <a:solidFill>
                  <a:sysClr val="windowText" lastClr="000000"/>
                </a:solidFill>
                <a:effectLst/>
                <a:latin typeface="+mn-lt"/>
                <a:ea typeface="+mn-ea"/>
                <a:cs typeface="+mn-cs"/>
              </a:rPr>
              <a:t>= </a:t>
            </a:r>
            <a:r>
              <a:rPr lang="fr-FR" sz="1100" b="1" baseline="0">
                <a:solidFill>
                  <a:sysClr val="windowText" lastClr="000000"/>
                </a:solidFill>
                <a:effectLst/>
                <a:latin typeface="+mn-lt"/>
                <a:ea typeface="+mn-ea"/>
                <a:cs typeface="+mn-cs"/>
              </a:rPr>
              <a:t>1</a:t>
            </a:r>
            <a:r>
              <a:rPr lang="fr-FR" sz="1100" baseline="0">
                <a:solidFill>
                  <a:sysClr val="windowText" lastClr="000000"/>
                </a:solidFill>
                <a:effectLst/>
                <a:latin typeface="+mn-lt"/>
                <a:ea typeface="+mn-ea"/>
                <a:cs typeface="+mn-cs"/>
              </a:rPr>
              <a:t> = temps plein  //  </a:t>
            </a:r>
            <a:r>
              <a:rPr lang="fr-FR" sz="1100" b="0" baseline="0">
                <a:solidFill>
                  <a:sysClr val="windowText" lastClr="000000"/>
                </a:solidFill>
                <a:effectLst/>
                <a:latin typeface="+mn-lt"/>
                <a:ea typeface="+mn-ea"/>
                <a:cs typeface="+mn-cs"/>
              </a:rPr>
              <a:t>50% = </a:t>
            </a:r>
            <a:r>
              <a:rPr lang="fr-FR" sz="1100" b="1" baseline="0">
                <a:solidFill>
                  <a:sysClr val="windowText" lastClr="000000"/>
                </a:solidFill>
                <a:effectLst/>
                <a:latin typeface="+mn-lt"/>
                <a:ea typeface="+mn-ea"/>
                <a:cs typeface="+mn-cs"/>
              </a:rPr>
              <a:t>0,5 </a:t>
            </a:r>
            <a:r>
              <a:rPr lang="fr-FR" sz="1100" baseline="0">
                <a:solidFill>
                  <a:sysClr val="windowText" lastClr="000000"/>
                </a:solidFill>
                <a:effectLst/>
                <a:latin typeface="+mn-lt"/>
                <a:ea typeface="+mn-ea"/>
                <a:cs typeface="+mn-cs"/>
              </a:rPr>
              <a:t>= mi-temps //  </a:t>
            </a:r>
            <a:r>
              <a:rPr lang="fr-FR" sz="1100" b="0" baseline="0">
                <a:solidFill>
                  <a:sysClr val="windowText" lastClr="000000"/>
                </a:solidFill>
                <a:effectLst/>
                <a:latin typeface="+mn-lt"/>
                <a:ea typeface="+mn-ea"/>
                <a:cs typeface="+mn-cs"/>
              </a:rPr>
              <a:t>75% = 0,75</a:t>
            </a:r>
            <a:r>
              <a:rPr lang="fr-FR" sz="1100" b="1" baseline="0">
                <a:solidFill>
                  <a:sysClr val="windowText" lastClr="000000"/>
                </a:solidFill>
                <a:effectLst/>
                <a:latin typeface="+mn-lt"/>
                <a:ea typeface="+mn-ea"/>
                <a:cs typeface="+mn-cs"/>
              </a:rPr>
              <a:t> </a:t>
            </a:r>
            <a:r>
              <a:rPr lang="fr-FR" sz="1100" baseline="0">
                <a:solidFill>
                  <a:sysClr val="windowText" lastClr="000000"/>
                </a:solidFill>
                <a:effectLst/>
                <a:latin typeface="+mn-lt"/>
                <a:ea typeface="+mn-ea"/>
                <a:cs typeface="+mn-cs"/>
              </a:rPr>
              <a:t>= 3/4 de temps ; </a:t>
            </a:r>
          </a:p>
          <a:p>
            <a:r>
              <a:rPr lang="fr-FR" sz="1100" baseline="0">
                <a:solidFill>
                  <a:sysClr val="windowText" lastClr="000000"/>
                </a:solidFill>
                <a:effectLst/>
                <a:latin typeface="+mn-lt"/>
                <a:ea typeface="+mn-ea"/>
                <a:cs typeface="+mn-cs"/>
              </a:rPr>
              <a:t>autres possibilités par exemple : 22h par semaine soit 22/40 (CCT SAS) : </a:t>
            </a:r>
            <a:r>
              <a:rPr lang="fr-FR" sz="1100" b="1" baseline="0">
                <a:solidFill>
                  <a:sysClr val="windowText" lastClr="000000"/>
                </a:solidFill>
                <a:effectLst/>
                <a:latin typeface="+mn-lt"/>
                <a:ea typeface="+mn-ea"/>
                <a:cs typeface="+mn-cs"/>
              </a:rPr>
              <a:t>55% </a:t>
            </a:r>
            <a:r>
              <a:rPr lang="fr-FR" sz="1050" b="0" baseline="0">
                <a:solidFill>
                  <a:sysClr val="windowText" lastClr="000000"/>
                </a:solidFill>
                <a:effectLst/>
                <a:latin typeface="+mn-lt"/>
                <a:ea typeface="+mn-ea"/>
                <a:cs typeface="+mn-cs"/>
              </a:rPr>
              <a:t>(22x100/40) = 0,55</a:t>
            </a:r>
          </a:p>
          <a:p>
            <a:r>
              <a:rPr lang="fr-FR" sz="1050" b="0">
                <a:solidFill>
                  <a:sysClr val="windowText" lastClr="000000"/>
                </a:solidFill>
                <a:effectLst/>
              </a:rPr>
              <a:t>                                                              </a:t>
            </a:r>
            <a:r>
              <a:rPr lang="fr-FR" sz="1100" b="0">
                <a:solidFill>
                  <a:sysClr val="windowText" lastClr="000000"/>
                </a:solidFill>
                <a:effectLst/>
              </a:rPr>
              <a:t>22h par semaine soit 22/38 (CCT EHL) : </a:t>
            </a:r>
            <a:r>
              <a:rPr lang="fr-FR" sz="1100" b="1">
                <a:solidFill>
                  <a:sysClr val="windowText" lastClr="000000"/>
                </a:solidFill>
                <a:effectLst/>
              </a:rPr>
              <a:t>57,89% </a:t>
            </a:r>
            <a:r>
              <a:rPr lang="fr-FR" sz="1100" b="0">
                <a:solidFill>
                  <a:sysClr val="windowText" lastClr="000000"/>
                </a:solidFill>
                <a:effectLst/>
              </a:rPr>
              <a:t>(</a:t>
            </a:r>
            <a:r>
              <a:rPr lang="fr-FR" sz="1050" b="0">
                <a:solidFill>
                  <a:sysClr val="windowText" lastClr="000000"/>
                </a:solidFill>
                <a:effectLst/>
              </a:rPr>
              <a:t>22x100/38) = 0,5789</a:t>
            </a:r>
          </a:p>
          <a:p>
            <a:r>
              <a:rPr lang="fr-FR" sz="1100" b="1" baseline="0">
                <a:solidFill>
                  <a:sysClr val="windowText" lastClr="000000"/>
                </a:solidFill>
                <a:effectLst/>
                <a:latin typeface="+mn-lt"/>
                <a:ea typeface="+mn-ea"/>
                <a:cs typeface="+mn-cs"/>
              </a:rPr>
              <a:t>0% </a:t>
            </a:r>
            <a:r>
              <a:rPr lang="fr-FR" sz="1100" baseline="0">
                <a:solidFill>
                  <a:sysClr val="windowText" lastClr="000000"/>
                </a:solidFill>
                <a:effectLst/>
                <a:latin typeface="+mn-lt"/>
                <a:ea typeface="+mn-ea"/>
                <a:cs typeface="+mn-cs"/>
              </a:rPr>
              <a:t>= 0 = période où la personne  est absente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longue maladie &gt;77 jours, congés parentaux, sans solde, maternité, dispense etc..)</a:t>
            </a:r>
            <a:endParaRPr lang="fr-FR">
              <a:solidFill>
                <a:sysClr val="windowText" lastClr="000000"/>
              </a:solidFill>
              <a:effectLst/>
            </a:endParaRPr>
          </a:p>
          <a:p>
            <a:r>
              <a:rPr lang="fr-FR" sz="1100" b="1">
                <a:solidFill>
                  <a:sysClr val="windowText" lastClr="000000"/>
                </a:solidFill>
                <a:effectLst/>
                <a:latin typeface="+mn-lt"/>
                <a:ea typeface="+mn-ea"/>
                <a:cs typeface="+mn-cs"/>
              </a:rPr>
              <a:t>0%</a:t>
            </a:r>
            <a:r>
              <a:rPr lang="fr-FR" sz="1100" b="1" baseline="0">
                <a:solidFill>
                  <a:sysClr val="windowText" lastClr="000000"/>
                </a:solidFill>
                <a:effectLst/>
                <a:latin typeface="+mn-lt"/>
                <a:ea typeface="+mn-ea"/>
                <a:cs typeface="+mn-cs"/>
              </a:rPr>
              <a:t> = période où le salarié ne fait pas encore ou plus partie de l'entreprise</a:t>
            </a:r>
            <a:endParaRPr lang="fr-FR">
              <a:solidFill>
                <a:sysClr val="windowText" lastClr="000000"/>
              </a:solidFill>
              <a:effectLst/>
            </a:endParaRPr>
          </a:p>
          <a:p>
            <a:r>
              <a:rPr lang="fr-FR" sz="1100" b="1" baseline="0">
                <a:solidFill>
                  <a:sysClr val="windowText" lastClr="000000"/>
                </a:solidFill>
                <a:effectLst/>
                <a:latin typeface="+mn-lt"/>
                <a:ea typeface="+mn-ea"/>
                <a:cs typeface="+mn-cs"/>
              </a:rPr>
              <a:t> ex: Mme X est engagée le 1er Juin en 3/4 temps </a:t>
            </a:r>
            <a:endParaRPr lang="fr-FR">
              <a:solidFill>
                <a:sysClr val="windowText" lastClr="000000"/>
              </a:solidFill>
              <a:effectLst/>
            </a:endParaRPr>
          </a:p>
          <a:p>
            <a:r>
              <a:rPr lang="fr-FR" sz="1100" b="1" baseline="0">
                <a:solidFill>
                  <a:sysClr val="windowText" lastClr="000000"/>
                </a:solidFill>
                <a:effectLst/>
                <a:latin typeface="+mn-lt"/>
                <a:ea typeface="+mn-ea"/>
                <a:cs typeface="+mn-cs"/>
              </a:rPr>
              <a:t>         -&gt; du 01 jan au 31 mai tâche: 0%, le reste de l'année tâche  :75% : ETP = 0,44</a:t>
            </a:r>
            <a:endParaRPr lang="fr-FR">
              <a:solidFill>
                <a:sysClr val="windowText" lastClr="000000"/>
              </a:solidFill>
              <a:effectLst/>
            </a:endParaRPr>
          </a:p>
          <a:p>
            <a:pPr algn="l"/>
            <a:endParaRPr lang="fr-FR" sz="1100" b="1">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1019175</xdr:colOff>
      <xdr:row>554</xdr:row>
      <xdr:rowOff>0</xdr:rowOff>
    </xdr:from>
    <xdr:ext cx="184731" cy="264560"/>
    <xdr:sp macro="" textlink="">
      <xdr:nvSpPr>
        <xdr:cNvPr id="2" name="ZoneTexte 6">
          <a:extLst>
            <a:ext uri="{FF2B5EF4-FFF2-40B4-BE49-F238E27FC236}">
              <a16:creationId xmlns:a16="http://schemas.microsoft.com/office/drawing/2014/main" id="{53D3E6B3-5BDE-4743-9B1E-F8950A053374}"/>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3" name="ZoneTexte 11">
          <a:extLst>
            <a:ext uri="{FF2B5EF4-FFF2-40B4-BE49-F238E27FC236}">
              <a16:creationId xmlns:a16="http://schemas.microsoft.com/office/drawing/2014/main" id="{AF742158-55F4-406B-A5AD-9FD993175E87}"/>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4" name="ZoneTexte 16">
          <a:extLst>
            <a:ext uri="{FF2B5EF4-FFF2-40B4-BE49-F238E27FC236}">
              <a16:creationId xmlns:a16="http://schemas.microsoft.com/office/drawing/2014/main" id="{60C06728-4398-4992-972B-18D1D6100228}"/>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5" name="ZoneTexte 21">
          <a:extLst>
            <a:ext uri="{FF2B5EF4-FFF2-40B4-BE49-F238E27FC236}">
              <a16:creationId xmlns:a16="http://schemas.microsoft.com/office/drawing/2014/main" id="{C6ADAC45-8571-47CA-B419-799553AA6117}"/>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6" name="ZoneTexte 26">
          <a:extLst>
            <a:ext uri="{FF2B5EF4-FFF2-40B4-BE49-F238E27FC236}">
              <a16:creationId xmlns:a16="http://schemas.microsoft.com/office/drawing/2014/main" id="{06A875B4-6992-4E29-BB48-80EE691BF4CB}"/>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7" name="ZoneTexte 31">
          <a:extLst>
            <a:ext uri="{FF2B5EF4-FFF2-40B4-BE49-F238E27FC236}">
              <a16:creationId xmlns:a16="http://schemas.microsoft.com/office/drawing/2014/main" id="{776CD0C8-11BE-4E6B-983B-1E0277A30D29}"/>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8" name="ZoneTexte 31">
          <a:extLst>
            <a:ext uri="{FF2B5EF4-FFF2-40B4-BE49-F238E27FC236}">
              <a16:creationId xmlns:a16="http://schemas.microsoft.com/office/drawing/2014/main" id="{C596BB14-B4E4-4576-BABF-32B49A3BB3D2}"/>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9" name="ZoneTexte 6">
          <a:extLst>
            <a:ext uri="{FF2B5EF4-FFF2-40B4-BE49-F238E27FC236}">
              <a16:creationId xmlns:a16="http://schemas.microsoft.com/office/drawing/2014/main" id="{3393423E-8EA4-41E8-A3F1-0B85A84E4F20}"/>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0" name="ZoneTexte 11">
          <a:extLst>
            <a:ext uri="{FF2B5EF4-FFF2-40B4-BE49-F238E27FC236}">
              <a16:creationId xmlns:a16="http://schemas.microsoft.com/office/drawing/2014/main" id="{57A4E500-F74D-4872-A6FF-354B3C2ECF12}"/>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1" name="ZoneTexte 16">
          <a:extLst>
            <a:ext uri="{FF2B5EF4-FFF2-40B4-BE49-F238E27FC236}">
              <a16:creationId xmlns:a16="http://schemas.microsoft.com/office/drawing/2014/main" id="{79EFF7DF-1C7A-487A-BE95-60FE19CDAF27}"/>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2" name="ZoneTexte 6">
          <a:extLst>
            <a:ext uri="{FF2B5EF4-FFF2-40B4-BE49-F238E27FC236}">
              <a16:creationId xmlns:a16="http://schemas.microsoft.com/office/drawing/2014/main" id="{E2609583-FDC1-4EB7-8ED0-4664389FDDD9}"/>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3" name="ZoneTexte 16">
          <a:extLst>
            <a:ext uri="{FF2B5EF4-FFF2-40B4-BE49-F238E27FC236}">
              <a16:creationId xmlns:a16="http://schemas.microsoft.com/office/drawing/2014/main" id="{B02C9857-CFEC-4FB7-9E0A-A4C1E7C3F609}"/>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4" name="ZoneTexte 21">
          <a:extLst>
            <a:ext uri="{FF2B5EF4-FFF2-40B4-BE49-F238E27FC236}">
              <a16:creationId xmlns:a16="http://schemas.microsoft.com/office/drawing/2014/main" id="{0D3D9F80-F96C-4803-BA10-3CE3E40EDC78}"/>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5" name="ZoneTexte 26">
          <a:extLst>
            <a:ext uri="{FF2B5EF4-FFF2-40B4-BE49-F238E27FC236}">
              <a16:creationId xmlns:a16="http://schemas.microsoft.com/office/drawing/2014/main" id="{D8D6EAE5-F87D-4258-97F0-EBEC402C602B}"/>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6" name="ZoneTexte 6">
          <a:extLst>
            <a:ext uri="{FF2B5EF4-FFF2-40B4-BE49-F238E27FC236}">
              <a16:creationId xmlns:a16="http://schemas.microsoft.com/office/drawing/2014/main" id="{9B29BD06-548E-4F1C-8779-1BBBEC28F923}"/>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7" name="ZoneTexte 11">
          <a:extLst>
            <a:ext uri="{FF2B5EF4-FFF2-40B4-BE49-F238E27FC236}">
              <a16:creationId xmlns:a16="http://schemas.microsoft.com/office/drawing/2014/main" id="{29F5632A-3F9E-477B-BC7E-C8167C6C7389}"/>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554</xdr:row>
      <xdr:rowOff>0</xdr:rowOff>
    </xdr:from>
    <xdr:ext cx="184731" cy="264560"/>
    <xdr:sp macro="" textlink="">
      <xdr:nvSpPr>
        <xdr:cNvPr id="18" name="ZoneTexte 16">
          <a:extLst>
            <a:ext uri="{FF2B5EF4-FFF2-40B4-BE49-F238E27FC236}">
              <a16:creationId xmlns:a16="http://schemas.microsoft.com/office/drawing/2014/main" id="{57B1E836-F311-42B8-AD21-AA7685772B5D}"/>
            </a:ext>
          </a:extLst>
        </xdr:cNvPr>
        <xdr:cNvSpPr txBox="1"/>
      </xdr:nvSpPr>
      <xdr:spPr>
        <a:xfrm>
          <a:off x="11557635" y="1039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342900</xdr:colOff>
      <xdr:row>565</xdr:row>
      <xdr:rowOff>56029</xdr:rowOff>
    </xdr:from>
    <xdr:to>
      <xdr:col>8</xdr:col>
      <xdr:colOff>649941</xdr:colOff>
      <xdr:row>569</xdr:row>
      <xdr:rowOff>123265</xdr:rowOff>
    </xdr:to>
    <xdr:sp macro="" textlink="">
      <xdr:nvSpPr>
        <xdr:cNvPr id="19" name="ZoneTexte 2">
          <a:extLst>
            <a:ext uri="{FF2B5EF4-FFF2-40B4-BE49-F238E27FC236}">
              <a16:creationId xmlns:a16="http://schemas.microsoft.com/office/drawing/2014/main" id="{267DC52C-E430-4124-BA7E-5F034C534D47}"/>
            </a:ext>
          </a:extLst>
        </xdr:cNvPr>
        <xdr:cNvSpPr txBox="1"/>
      </xdr:nvSpPr>
      <xdr:spPr>
        <a:xfrm>
          <a:off x="1135380" y="106065469"/>
          <a:ext cx="15851841" cy="836856"/>
        </a:xfrm>
        <a:prstGeom prst="rect">
          <a:avLst/>
        </a:prstGeom>
        <a:solidFill>
          <a:schemeClr val="accent3"/>
        </a:solidFill>
        <a:ln cmpd="db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500" b="1" i="1">
              <a:solidFill>
                <a:schemeClr val="dk1"/>
              </a:solidFill>
              <a:effectLst/>
              <a:latin typeface="+mn-lt"/>
              <a:ea typeface="+mn-ea"/>
              <a:cs typeface="+mn-cs"/>
            </a:rPr>
            <a:t>Calcul de la </a:t>
          </a:r>
          <a:r>
            <a:rPr lang="fr-CH" sz="1500" b="1" i="1">
              <a:solidFill>
                <a:schemeClr val="dk1"/>
              </a:solidFill>
              <a:effectLst/>
              <a:latin typeface="+mn-lt"/>
              <a:ea typeface="+mn-ea"/>
              <a:cs typeface="+mn-cs"/>
            </a:rPr>
            <a:t>norme minimale d’agents d’encadrement </a:t>
          </a:r>
          <a:r>
            <a:rPr lang="fr-FR" sz="1500" b="1" i="1">
              <a:solidFill>
                <a:schemeClr val="dk1"/>
              </a:solidFill>
              <a:effectLst/>
              <a:latin typeface="+mn-lt"/>
              <a:ea typeface="+mn-ea"/>
              <a:cs typeface="+mn-cs"/>
            </a:rPr>
            <a:t>selon l’article 14 du règlement grand-ducal modifié du 17 août 2011 concernant l’agrément à accorder aux gestionnaires d’activités pour enfants, jeunes adultes et familles en détresse</a:t>
          </a:r>
          <a:endParaRPr lang="fr-FR" sz="1500">
            <a:solidFill>
              <a:schemeClr val="dk1"/>
            </a:solidFill>
            <a:effectLst/>
            <a:latin typeface="+mn-lt"/>
            <a:ea typeface="+mn-ea"/>
            <a:cs typeface="+mn-cs"/>
          </a:endParaRPr>
        </a:p>
        <a:p>
          <a:pPr algn="ctr"/>
          <a:endParaRPr lang="fr-FR" sz="1500"/>
        </a:p>
      </xdr:txBody>
    </xdr:sp>
    <xdr:clientData/>
  </xdr:twoCellAnchor>
  <xdr:twoCellAnchor>
    <xdr:from>
      <xdr:col>1</xdr:col>
      <xdr:colOff>705971</xdr:colOff>
      <xdr:row>581</xdr:row>
      <xdr:rowOff>95250</xdr:rowOff>
    </xdr:from>
    <xdr:to>
      <xdr:col>3</xdr:col>
      <xdr:colOff>228601</xdr:colOff>
      <xdr:row>582</xdr:row>
      <xdr:rowOff>168088</xdr:rowOff>
    </xdr:to>
    <xdr:sp macro="" textlink="">
      <xdr:nvSpPr>
        <xdr:cNvPr id="20" name="ZoneTexte 4">
          <a:extLst>
            <a:ext uri="{FF2B5EF4-FFF2-40B4-BE49-F238E27FC236}">
              <a16:creationId xmlns:a16="http://schemas.microsoft.com/office/drawing/2014/main" id="{0E35E8CE-62E5-4CFB-ABFC-4BA20108FC29}"/>
            </a:ext>
          </a:extLst>
        </xdr:cNvPr>
        <xdr:cNvSpPr txBox="1"/>
      </xdr:nvSpPr>
      <xdr:spPr>
        <a:xfrm>
          <a:off x="1498451" y="109099350"/>
          <a:ext cx="5260490" cy="2557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de base:</a:t>
          </a:r>
        </a:p>
      </xdr:txBody>
    </xdr:sp>
    <xdr:clientData/>
  </xdr:twoCellAnchor>
  <xdr:twoCellAnchor>
    <xdr:from>
      <xdr:col>1</xdr:col>
      <xdr:colOff>457201</xdr:colOff>
      <xdr:row>624</xdr:row>
      <xdr:rowOff>104774</xdr:rowOff>
    </xdr:from>
    <xdr:to>
      <xdr:col>7</xdr:col>
      <xdr:colOff>552451</xdr:colOff>
      <xdr:row>633</xdr:row>
      <xdr:rowOff>118274</xdr:rowOff>
    </xdr:to>
    <xdr:sp macro="" textlink="">
      <xdr:nvSpPr>
        <xdr:cNvPr id="21" name="ZoneTexte 5">
          <a:extLst>
            <a:ext uri="{FF2B5EF4-FFF2-40B4-BE49-F238E27FC236}">
              <a16:creationId xmlns:a16="http://schemas.microsoft.com/office/drawing/2014/main" id="{18E18301-DAFB-427C-B488-D4CC50394C05}"/>
            </a:ext>
          </a:extLst>
        </xdr:cNvPr>
        <xdr:cNvSpPr txBox="1"/>
      </xdr:nvSpPr>
      <xdr:spPr>
        <a:xfrm>
          <a:off x="1249681" y="11697271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au plus </a:t>
          </a:r>
          <a:r>
            <a:rPr lang="fr-FR" sz="1100">
              <a:solidFill>
                <a:schemeClr val="dk1"/>
              </a:solidFill>
              <a:effectLst/>
              <a:latin typeface="+mn-lt"/>
              <a:ea typeface="+mn-ea"/>
              <a:cs typeface="+mn-cs"/>
            </a:rPr>
            <a:t>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641</xdr:row>
      <xdr:rowOff>142875</xdr:rowOff>
    </xdr:from>
    <xdr:ext cx="184731" cy="264560"/>
    <xdr:sp macro="" textlink="">
      <xdr:nvSpPr>
        <xdr:cNvPr id="22" name="ZoneTexte 6">
          <a:extLst>
            <a:ext uri="{FF2B5EF4-FFF2-40B4-BE49-F238E27FC236}">
              <a16:creationId xmlns:a16="http://schemas.microsoft.com/office/drawing/2014/main" id="{A68C8578-C391-4727-8298-0A7CAD5CD7A2}"/>
            </a:ext>
          </a:extLst>
        </xdr:cNvPr>
        <xdr:cNvSpPr txBox="1"/>
      </xdr:nvSpPr>
      <xdr:spPr>
        <a:xfrm>
          <a:off x="11557635" y="1201654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637</xdr:row>
      <xdr:rowOff>161925</xdr:rowOff>
    </xdr:from>
    <xdr:to>
      <xdr:col>7</xdr:col>
      <xdr:colOff>609600</xdr:colOff>
      <xdr:row>640</xdr:row>
      <xdr:rowOff>85725</xdr:rowOff>
    </xdr:to>
    <xdr:sp macro="" textlink="">
      <xdr:nvSpPr>
        <xdr:cNvPr id="23" name="ZoneTexte 7">
          <a:extLst>
            <a:ext uri="{FF2B5EF4-FFF2-40B4-BE49-F238E27FC236}">
              <a16:creationId xmlns:a16="http://schemas.microsoft.com/office/drawing/2014/main" id="{45013513-88EC-419A-B405-529F186109DE}"/>
            </a:ext>
          </a:extLst>
        </xdr:cNvPr>
        <xdr:cNvSpPr txBox="1"/>
      </xdr:nvSpPr>
      <xdr:spPr>
        <a:xfrm>
          <a:off x="1297305" y="11945302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23 % au moins </a:t>
          </a:r>
          <a:r>
            <a:rPr lang="fr-FR" sz="1100"/>
            <a:t>des heures d’encadrement prestées par du personnel qualifié doit être assuré par des personnes faisant valoir des qualifications professionnelles de type postsecondaire :</a:t>
          </a:r>
        </a:p>
        <a:p>
          <a:endParaRPr lang="fr-FR" sz="1100"/>
        </a:p>
      </xdr:txBody>
    </xdr:sp>
    <xdr:clientData/>
  </xdr:twoCellAnchor>
  <xdr:twoCellAnchor>
    <xdr:from>
      <xdr:col>1</xdr:col>
      <xdr:colOff>750793</xdr:colOff>
      <xdr:row>652</xdr:row>
      <xdr:rowOff>72840</xdr:rowOff>
    </xdr:from>
    <xdr:to>
      <xdr:col>3</xdr:col>
      <xdr:colOff>918881</xdr:colOff>
      <xdr:row>654</xdr:row>
      <xdr:rowOff>33620</xdr:rowOff>
    </xdr:to>
    <xdr:sp macro="" textlink="">
      <xdr:nvSpPr>
        <xdr:cNvPr id="24" name="ZoneTexte 9">
          <a:extLst>
            <a:ext uri="{FF2B5EF4-FFF2-40B4-BE49-F238E27FC236}">
              <a16:creationId xmlns:a16="http://schemas.microsoft.com/office/drawing/2014/main" id="{3AC41C15-C787-4CFF-9F2E-AFB21DE3EDF8}"/>
            </a:ext>
          </a:extLst>
        </xdr:cNvPr>
        <xdr:cNvSpPr txBox="1"/>
      </xdr:nvSpPr>
      <xdr:spPr>
        <a:xfrm>
          <a:off x="1543273" y="122168100"/>
          <a:ext cx="5905948" cy="326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orthopédagogique J/N</a:t>
          </a:r>
        </a:p>
        <a:p>
          <a:pPr algn="ctr"/>
          <a:endParaRPr lang="fr-FR" sz="1400" b="1"/>
        </a:p>
      </xdr:txBody>
    </xdr:sp>
    <xdr:clientData/>
  </xdr:twoCellAnchor>
  <xdr:twoCellAnchor>
    <xdr:from>
      <xdr:col>1</xdr:col>
      <xdr:colOff>457201</xdr:colOff>
      <xdr:row>695</xdr:row>
      <xdr:rowOff>104774</xdr:rowOff>
    </xdr:from>
    <xdr:to>
      <xdr:col>7</xdr:col>
      <xdr:colOff>552451</xdr:colOff>
      <xdr:row>704</xdr:row>
      <xdr:rowOff>118274</xdr:rowOff>
    </xdr:to>
    <xdr:sp macro="" textlink="">
      <xdr:nvSpPr>
        <xdr:cNvPr id="25" name="ZoneTexte 10">
          <a:extLst>
            <a:ext uri="{FF2B5EF4-FFF2-40B4-BE49-F238E27FC236}">
              <a16:creationId xmlns:a16="http://schemas.microsoft.com/office/drawing/2014/main" id="{B87B9679-71CA-4839-A537-956512F3E6BE}"/>
            </a:ext>
          </a:extLst>
        </xdr:cNvPr>
        <xdr:cNvSpPr txBox="1"/>
      </xdr:nvSpPr>
      <xdr:spPr>
        <a:xfrm>
          <a:off x="1249681" y="13006387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au plus </a:t>
          </a:r>
          <a:r>
            <a:rPr lang="fr-FR" sz="1100">
              <a:solidFill>
                <a:schemeClr val="dk1"/>
              </a:solidFill>
              <a:effectLst/>
              <a:latin typeface="+mn-lt"/>
              <a:ea typeface="+mn-ea"/>
              <a:cs typeface="+mn-cs"/>
            </a:rPr>
            <a:t>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712</xdr:row>
      <xdr:rowOff>142875</xdr:rowOff>
    </xdr:from>
    <xdr:ext cx="184731" cy="264560"/>
    <xdr:sp macro="" textlink="">
      <xdr:nvSpPr>
        <xdr:cNvPr id="26" name="ZoneTexte 11">
          <a:extLst>
            <a:ext uri="{FF2B5EF4-FFF2-40B4-BE49-F238E27FC236}">
              <a16:creationId xmlns:a16="http://schemas.microsoft.com/office/drawing/2014/main" id="{64E1AF3C-5623-43F9-9B97-45B597DAF398}"/>
            </a:ext>
          </a:extLst>
        </xdr:cNvPr>
        <xdr:cNvSpPr txBox="1"/>
      </xdr:nvSpPr>
      <xdr:spPr>
        <a:xfrm>
          <a:off x="11557635" y="1332109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708</xdr:row>
      <xdr:rowOff>161925</xdr:rowOff>
    </xdr:from>
    <xdr:to>
      <xdr:col>7</xdr:col>
      <xdr:colOff>609600</xdr:colOff>
      <xdr:row>711</xdr:row>
      <xdr:rowOff>85725</xdr:rowOff>
    </xdr:to>
    <xdr:sp macro="" textlink="">
      <xdr:nvSpPr>
        <xdr:cNvPr id="27" name="ZoneTexte 12">
          <a:extLst>
            <a:ext uri="{FF2B5EF4-FFF2-40B4-BE49-F238E27FC236}">
              <a16:creationId xmlns:a16="http://schemas.microsoft.com/office/drawing/2014/main" id="{30203368-5A86-464C-BA1F-46F1B2B81B4E}"/>
            </a:ext>
          </a:extLst>
        </xdr:cNvPr>
        <xdr:cNvSpPr txBox="1"/>
      </xdr:nvSpPr>
      <xdr:spPr>
        <a:xfrm>
          <a:off x="1297305" y="13249846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30 % au </a:t>
          </a:r>
          <a:r>
            <a:rPr lang="fr-FR" sz="1100"/>
            <a:t>moins des heures d’encadrement prestées par du personnel qualifié doit être assuré par des personnes faisant valoir des qualifications professionnelles de type postsecondaire :</a:t>
          </a:r>
        </a:p>
        <a:p>
          <a:endParaRPr lang="fr-FR" sz="1100"/>
        </a:p>
      </xdr:txBody>
    </xdr:sp>
    <xdr:clientData/>
  </xdr:twoCellAnchor>
  <xdr:oneCellAnchor>
    <xdr:from>
      <xdr:col>5</xdr:col>
      <xdr:colOff>1019175</xdr:colOff>
      <xdr:row>782</xdr:row>
      <xdr:rowOff>0</xdr:rowOff>
    </xdr:from>
    <xdr:ext cx="184731" cy="264560"/>
    <xdr:sp macro="" textlink="">
      <xdr:nvSpPr>
        <xdr:cNvPr id="28" name="ZoneTexte 16">
          <a:extLst>
            <a:ext uri="{FF2B5EF4-FFF2-40B4-BE49-F238E27FC236}">
              <a16:creationId xmlns:a16="http://schemas.microsoft.com/office/drawing/2014/main" id="{BEDED37F-0C94-49C9-9887-2B5685134E5D}"/>
            </a:ext>
          </a:extLst>
        </xdr:cNvPr>
        <xdr:cNvSpPr txBox="1"/>
      </xdr:nvSpPr>
      <xdr:spPr>
        <a:xfrm>
          <a:off x="11557635" y="14590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750793</xdr:colOff>
      <xdr:row>782</xdr:row>
      <xdr:rowOff>168088</xdr:rowOff>
    </xdr:from>
    <xdr:to>
      <xdr:col>3</xdr:col>
      <xdr:colOff>582706</xdr:colOff>
      <xdr:row>786</xdr:row>
      <xdr:rowOff>22412</xdr:rowOff>
    </xdr:to>
    <xdr:sp macro="" textlink="">
      <xdr:nvSpPr>
        <xdr:cNvPr id="29" name="ZoneTexte 19">
          <a:extLst>
            <a:ext uri="{FF2B5EF4-FFF2-40B4-BE49-F238E27FC236}">
              <a16:creationId xmlns:a16="http://schemas.microsoft.com/office/drawing/2014/main" id="{0A56497C-9134-4152-876A-CB23A5A57905}"/>
            </a:ext>
          </a:extLst>
        </xdr:cNvPr>
        <xdr:cNvSpPr txBox="1"/>
      </xdr:nvSpPr>
      <xdr:spPr>
        <a:xfrm>
          <a:off x="1543273" y="146068228"/>
          <a:ext cx="5569773" cy="5858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psychothérapeutique J/N</a:t>
          </a:r>
        </a:p>
        <a:p>
          <a:pPr algn="ctr"/>
          <a:endParaRPr lang="fr-FR" sz="1400" b="1"/>
        </a:p>
      </xdr:txBody>
    </xdr:sp>
    <xdr:clientData/>
  </xdr:twoCellAnchor>
  <xdr:twoCellAnchor>
    <xdr:from>
      <xdr:col>1</xdr:col>
      <xdr:colOff>457201</xdr:colOff>
      <xdr:row>828</xdr:row>
      <xdr:rowOff>104774</xdr:rowOff>
    </xdr:from>
    <xdr:to>
      <xdr:col>7</xdr:col>
      <xdr:colOff>552451</xdr:colOff>
      <xdr:row>837</xdr:row>
      <xdr:rowOff>118274</xdr:rowOff>
    </xdr:to>
    <xdr:sp macro="" textlink="">
      <xdr:nvSpPr>
        <xdr:cNvPr id="30" name="ZoneTexte 20">
          <a:extLst>
            <a:ext uri="{FF2B5EF4-FFF2-40B4-BE49-F238E27FC236}">
              <a16:creationId xmlns:a16="http://schemas.microsoft.com/office/drawing/2014/main" id="{158C2174-2A08-4A85-B5C6-82ECD2F151E7}"/>
            </a:ext>
          </a:extLst>
        </xdr:cNvPr>
        <xdr:cNvSpPr txBox="1"/>
      </xdr:nvSpPr>
      <xdr:spPr>
        <a:xfrm>
          <a:off x="1249681" y="15441739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au plus des </a:t>
          </a:r>
          <a:r>
            <a:rPr lang="fr-FR" sz="1100">
              <a:solidFill>
                <a:schemeClr val="dk1"/>
              </a:solidFill>
              <a:effectLst/>
              <a:latin typeface="+mn-lt"/>
              <a:ea typeface="+mn-ea"/>
              <a:cs typeface="+mn-cs"/>
            </a:rPr>
            <a:t>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847</xdr:row>
      <xdr:rowOff>142875</xdr:rowOff>
    </xdr:from>
    <xdr:ext cx="184731" cy="264560"/>
    <xdr:sp macro="" textlink="">
      <xdr:nvSpPr>
        <xdr:cNvPr id="31" name="ZoneTexte 21">
          <a:extLst>
            <a:ext uri="{FF2B5EF4-FFF2-40B4-BE49-F238E27FC236}">
              <a16:creationId xmlns:a16="http://schemas.microsoft.com/office/drawing/2014/main" id="{BD2F2CE4-6D2C-4BD3-B12A-B455464CDA1A}"/>
            </a:ext>
          </a:extLst>
        </xdr:cNvPr>
        <xdr:cNvSpPr txBox="1"/>
      </xdr:nvSpPr>
      <xdr:spPr>
        <a:xfrm>
          <a:off x="11557635" y="157930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843</xdr:row>
      <xdr:rowOff>161925</xdr:rowOff>
    </xdr:from>
    <xdr:to>
      <xdr:col>7</xdr:col>
      <xdr:colOff>609600</xdr:colOff>
      <xdr:row>846</xdr:row>
      <xdr:rowOff>85725</xdr:rowOff>
    </xdr:to>
    <xdr:sp macro="" textlink="">
      <xdr:nvSpPr>
        <xdr:cNvPr id="32" name="ZoneTexte 22">
          <a:extLst>
            <a:ext uri="{FF2B5EF4-FFF2-40B4-BE49-F238E27FC236}">
              <a16:creationId xmlns:a16="http://schemas.microsoft.com/office/drawing/2014/main" id="{915B7C98-6B39-4998-94B1-326623B6F793}"/>
            </a:ext>
          </a:extLst>
        </xdr:cNvPr>
        <xdr:cNvSpPr txBox="1"/>
      </xdr:nvSpPr>
      <xdr:spPr>
        <a:xfrm>
          <a:off x="1297305" y="15721774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40 % au moins </a:t>
          </a:r>
          <a:r>
            <a:rPr lang="fr-FR" sz="1100"/>
            <a:t>des heures d’encadrement de base prestées par du personnel qualifié doit être assuré par des personnes faisant valoir des qualifications professionnelles de type postsecondaire :</a:t>
          </a:r>
        </a:p>
        <a:p>
          <a:endParaRPr lang="fr-FR" sz="1100"/>
        </a:p>
      </xdr:txBody>
    </xdr:sp>
    <xdr:clientData/>
  </xdr:twoCellAnchor>
  <xdr:oneCellAnchor>
    <xdr:from>
      <xdr:col>5</xdr:col>
      <xdr:colOff>1019175</xdr:colOff>
      <xdr:row>1047</xdr:row>
      <xdr:rowOff>0</xdr:rowOff>
    </xdr:from>
    <xdr:ext cx="184731" cy="264560"/>
    <xdr:sp macro="" textlink="">
      <xdr:nvSpPr>
        <xdr:cNvPr id="33" name="ZoneTexte 26">
          <a:extLst>
            <a:ext uri="{FF2B5EF4-FFF2-40B4-BE49-F238E27FC236}">
              <a16:creationId xmlns:a16="http://schemas.microsoft.com/office/drawing/2014/main" id="{07E04FC0-4DA9-412A-9AE3-29108B29835F}"/>
            </a:ext>
          </a:extLst>
        </xdr:cNvPr>
        <xdr:cNvSpPr txBox="1"/>
      </xdr:nvSpPr>
      <xdr:spPr>
        <a:xfrm>
          <a:off x="11557635" y="1944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2</xdr:col>
      <xdr:colOff>112058</xdr:colOff>
      <xdr:row>1050</xdr:row>
      <xdr:rowOff>11205</xdr:rowOff>
    </xdr:from>
    <xdr:to>
      <xdr:col>7</xdr:col>
      <xdr:colOff>694764</xdr:colOff>
      <xdr:row>1052</xdr:row>
      <xdr:rowOff>22412</xdr:rowOff>
    </xdr:to>
    <xdr:sp macro="" textlink="">
      <xdr:nvSpPr>
        <xdr:cNvPr id="34" name="ZoneTexte 29">
          <a:extLst>
            <a:ext uri="{FF2B5EF4-FFF2-40B4-BE49-F238E27FC236}">
              <a16:creationId xmlns:a16="http://schemas.microsoft.com/office/drawing/2014/main" id="{2BA5065F-44D3-4DF3-A61F-D5F239A971E7}"/>
            </a:ext>
          </a:extLst>
        </xdr:cNvPr>
        <xdr:cNvSpPr txBox="1"/>
      </xdr:nvSpPr>
      <xdr:spPr>
        <a:xfrm>
          <a:off x="4645958" y="194984145"/>
          <a:ext cx="10580146" cy="37696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a:t>Récapitulatif</a:t>
          </a:r>
        </a:p>
      </xdr:txBody>
    </xdr:sp>
    <xdr:clientData/>
  </xdr:twoCellAnchor>
  <xdr:oneCellAnchor>
    <xdr:from>
      <xdr:col>5</xdr:col>
      <xdr:colOff>1019175</xdr:colOff>
      <xdr:row>1047</xdr:row>
      <xdr:rowOff>0</xdr:rowOff>
    </xdr:from>
    <xdr:ext cx="184731" cy="264560"/>
    <xdr:sp macro="" textlink="">
      <xdr:nvSpPr>
        <xdr:cNvPr id="35" name="ZoneTexte 31">
          <a:extLst>
            <a:ext uri="{FF2B5EF4-FFF2-40B4-BE49-F238E27FC236}">
              <a16:creationId xmlns:a16="http://schemas.microsoft.com/office/drawing/2014/main" id="{37C1205E-8765-4FF2-8A77-57560D3D28EC}"/>
            </a:ext>
          </a:extLst>
        </xdr:cNvPr>
        <xdr:cNvSpPr txBox="1"/>
      </xdr:nvSpPr>
      <xdr:spPr>
        <a:xfrm>
          <a:off x="11557635" y="1944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1047</xdr:row>
      <xdr:rowOff>0</xdr:rowOff>
    </xdr:from>
    <xdr:ext cx="184731" cy="264560"/>
    <xdr:sp macro="" textlink="">
      <xdr:nvSpPr>
        <xdr:cNvPr id="36" name="ZoneTexte 31">
          <a:extLst>
            <a:ext uri="{FF2B5EF4-FFF2-40B4-BE49-F238E27FC236}">
              <a16:creationId xmlns:a16="http://schemas.microsoft.com/office/drawing/2014/main" id="{4F035B61-A8BB-4420-89C9-7B884D4F476B}"/>
            </a:ext>
          </a:extLst>
        </xdr:cNvPr>
        <xdr:cNvSpPr txBox="1"/>
      </xdr:nvSpPr>
      <xdr:spPr>
        <a:xfrm>
          <a:off x="11557635" y="1944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971</xdr:row>
      <xdr:rowOff>0</xdr:rowOff>
    </xdr:from>
    <xdr:ext cx="184731" cy="264560"/>
    <xdr:sp macro="" textlink="">
      <xdr:nvSpPr>
        <xdr:cNvPr id="37" name="ZoneTexte 6">
          <a:extLst>
            <a:ext uri="{FF2B5EF4-FFF2-40B4-BE49-F238E27FC236}">
              <a16:creationId xmlns:a16="http://schemas.microsoft.com/office/drawing/2014/main" id="{7BD160D2-D78F-4C1B-B52B-7C5115DDE93B}"/>
            </a:ext>
          </a:extLst>
        </xdr:cNvPr>
        <xdr:cNvSpPr txBox="1"/>
      </xdr:nvSpPr>
      <xdr:spPr>
        <a:xfrm>
          <a:off x="11557635" y="18051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971</xdr:row>
      <xdr:rowOff>0</xdr:rowOff>
    </xdr:from>
    <xdr:ext cx="184731" cy="264560"/>
    <xdr:sp macro="" textlink="">
      <xdr:nvSpPr>
        <xdr:cNvPr id="38" name="ZoneTexte 11">
          <a:extLst>
            <a:ext uri="{FF2B5EF4-FFF2-40B4-BE49-F238E27FC236}">
              <a16:creationId xmlns:a16="http://schemas.microsoft.com/office/drawing/2014/main" id="{6D149E20-B3D0-489C-8ED2-9A4FDF33032B}"/>
            </a:ext>
          </a:extLst>
        </xdr:cNvPr>
        <xdr:cNvSpPr txBox="1"/>
      </xdr:nvSpPr>
      <xdr:spPr>
        <a:xfrm>
          <a:off x="11557635" y="180510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750793</xdr:colOff>
      <xdr:row>971</xdr:row>
      <xdr:rowOff>162486</xdr:rowOff>
    </xdr:from>
    <xdr:to>
      <xdr:col>4</xdr:col>
      <xdr:colOff>515470</xdr:colOff>
      <xdr:row>974</xdr:row>
      <xdr:rowOff>179294</xdr:rowOff>
    </xdr:to>
    <xdr:sp macro="" textlink="">
      <xdr:nvSpPr>
        <xdr:cNvPr id="39" name="ZoneTexte 14">
          <a:extLst>
            <a:ext uri="{FF2B5EF4-FFF2-40B4-BE49-F238E27FC236}">
              <a16:creationId xmlns:a16="http://schemas.microsoft.com/office/drawing/2014/main" id="{02063980-9876-4AE1-AA87-99C115AC4442}"/>
            </a:ext>
          </a:extLst>
        </xdr:cNvPr>
        <xdr:cNvSpPr txBox="1"/>
      </xdr:nvSpPr>
      <xdr:spPr>
        <a:xfrm>
          <a:off x="1543273" y="180672666"/>
          <a:ext cx="7514217" cy="56544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urgent en situation de crise psychosociale aiguïe</a:t>
          </a:r>
        </a:p>
        <a:p>
          <a:pPr algn="ctr"/>
          <a:endParaRPr lang="fr-FR" sz="1400" b="1"/>
        </a:p>
      </xdr:txBody>
    </xdr:sp>
    <xdr:clientData/>
  </xdr:twoCellAnchor>
  <xdr:twoCellAnchor>
    <xdr:from>
      <xdr:col>1</xdr:col>
      <xdr:colOff>457201</xdr:colOff>
      <xdr:row>1017</xdr:row>
      <xdr:rowOff>104774</xdr:rowOff>
    </xdr:from>
    <xdr:to>
      <xdr:col>7</xdr:col>
      <xdr:colOff>552451</xdr:colOff>
      <xdr:row>1026</xdr:row>
      <xdr:rowOff>118274</xdr:rowOff>
    </xdr:to>
    <xdr:sp macro="" textlink="">
      <xdr:nvSpPr>
        <xdr:cNvPr id="40" name="ZoneTexte 15">
          <a:extLst>
            <a:ext uri="{FF2B5EF4-FFF2-40B4-BE49-F238E27FC236}">
              <a16:creationId xmlns:a16="http://schemas.microsoft.com/office/drawing/2014/main" id="{BA355DF8-FF94-4F0A-867D-3F4187C86FFA}"/>
            </a:ext>
          </a:extLst>
        </xdr:cNvPr>
        <xdr:cNvSpPr txBox="1"/>
      </xdr:nvSpPr>
      <xdr:spPr>
        <a:xfrm>
          <a:off x="1249681" y="18902743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au plus </a:t>
          </a:r>
          <a:r>
            <a:rPr lang="fr-FR" sz="1100">
              <a:solidFill>
                <a:schemeClr val="dk1"/>
              </a:solidFill>
              <a:effectLst/>
              <a:latin typeface="+mn-lt"/>
              <a:ea typeface="+mn-ea"/>
              <a:cs typeface="+mn-cs"/>
            </a:rPr>
            <a:t>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1036</xdr:row>
      <xdr:rowOff>142875</xdr:rowOff>
    </xdr:from>
    <xdr:ext cx="184731" cy="264560"/>
    <xdr:sp macro="" textlink="">
      <xdr:nvSpPr>
        <xdr:cNvPr id="41" name="ZoneTexte 16">
          <a:extLst>
            <a:ext uri="{FF2B5EF4-FFF2-40B4-BE49-F238E27FC236}">
              <a16:creationId xmlns:a16="http://schemas.microsoft.com/office/drawing/2014/main" id="{BE4104D6-1380-4328-A3B3-9FDC2F377E83}"/>
            </a:ext>
          </a:extLst>
        </xdr:cNvPr>
        <xdr:cNvSpPr txBox="1"/>
      </xdr:nvSpPr>
      <xdr:spPr>
        <a:xfrm>
          <a:off x="11557635" y="192540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1032</xdr:row>
      <xdr:rowOff>161925</xdr:rowOff>
    </xdr:from>
    <xdr:to>
      <xdr:col>7</xdr:col>
      <xdr:colOff>609600</xdr:colOff>
      <xdr:row>1035</xdr:row>
      <xdr:rowOff>85725</xdr:rowOff>
    </xdr:to>
    <xdr:sp macro="" textlink="">
      <xdr:nvSpPr>
        <xdr:cNvPr id="42" name="ZoneTexte 17">
          <a:extLst>
            <a:ext uri="{FF2B5EF4-FFF2-40B4-BE49-F238E27FC236}">
              <a16:creationId xmlns:a16="http://schemas.microsoft.com/office/drawing/2014/main" id="{DEF11233-031F-4FEC-B9B9-B8E09AF3D428}"/>
            </a:ext>
          </a:extLst>
        </xdr:cNvPr>
        <xdr:cNvSpPr txBox="1"/>
      </xdr:nvSpPr>
      <xdr:spPr>
        <a:xfrm>
          <a:off x="1297305" y="19182778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40 % au </a:t>
          </a:r>
          <a:r>
            <a:rPr lang="fr-FR" sz="1100"/>
            <a:t>moins des heures d’encadrement prestées par du personnel qualifié doit être assuré par des personnes faisant valoir des qualifications professionnelles de type postsecondaire :</a:t>
          </a:r>
        </a:p>
        <a:p>
          <a:endParaRPr lang="fr-FR" sz="1100"/>
        </a:p>
      </xdr:txBody>
    </xdr:sp>
    <xdr:clientData/>
  </xdr:twoCellAnchor>
  <xdr:oneCellAnchor>
    <xdr:from>
      <xdr:col>5</xdr:col>
      <xdr:colOff>1019175</xdr:colOff>
      <xdr:row>969</xdr:row>
      <xdr:rowOff>0</xdr:rowOff>
    </xdr:from>
    <xdr:ext cx="184731" cy="264560"/>
    <xdr:sp macro="" textlink="">
      <xdr:nvSpPr>
        <xdr:cNvPr id="43" name="ZoneTexte 6">
          <a:extLst>
            <a:ext uri="{FF2B5EF4-FFF2-40B4-BE49-F238E27FC236}">
              <a16:creationId xmlns:a16="http://schemas.microsoft.com/office/drawing/2014/main" id="{DB9DE52C-770E-4C23-9794-430C4F531613}"/>
            </a:ext>
          </a:extLst>
        </xdr:cNvPr>
        <xdr:cNvSpPr txBox="1"/>
      </xdr:nvSpPr>
      <xdr:spPr>
        <a:xfrm>
          <a:off x="11557635" y="18014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916</xdr:row>
      <xdr:rowOff>0</xdr:rowOff>
    </xdr:from>
    <xdr:ext cx="184731" cy="264560"/>
    <xdr:sp macro="" textlink="">
      <xdr:nvSpPr>
        <xdr:cNvPr id="44" name="ZoneTexte 16">
          <a:extLst>
            <a:ext uri="{FF2B5EF4-FFF2-40B4-BE49-F238E27FC236}">
              <a16:creationId xmlns:a16="http://schemas.microsoft.com/office/drawing/2014/main" id="{C451D71A-9A42-4384-B681-B73A9EBB6E49}"/>
            </a:ext>
          </a:extLst>
        </xdr:cNvPr>
        <xdr:cNvSpPr txBox="1"/>
      </xdr:nvSpPr>
      <xdr:spPr>
        <a:xfrm>
          <a:off x="11557635" y="1704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916</xdr:row>
      <xdr:rowOff>0</xdr:rowOff>
    </xdr:from>
    <xdr:ext cx="184731" cy="264560"/>
    <xdr:sp macro="" textlink="">
      <xdr:nvSpPr>
        <xdr:cNvPr id="45" name="ZoneTexte 21">
          <a:extLst>
            <a:ext uri="{FF2B5EF4-FFF2-40B4-BE49-F238E27FC236}">
              <a16:creationId xmlns:a16="http://schemas.microsoft.com/office/drawing/2014/main" id="{16A6CAF8-60A2-4643-97F4-1A118870C163}"/>
            </a:ext>
          </a:extLst>
        </xdr:cNvPr>
        <xdr:cNvSpPr txBox="1"/>
      </xdr:nvSpPr>
      <xdr:spPr>
        <a:xfrm>
          <a:off x="11557635" y="1704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750793</xdr:colOff>
      <xdr:row>916</xdr:row>
      <xdr:rowOff>168088</xdr:rowOff>
    </xdr:from>
    <xdr:to>
      <xdr:col>3</xdr:col>
      <xdr:colOff>728382</xdr:colOff>
      <xdr:row>919</xdr:row>
      <xdr:rowOff>156882</xdr:rowOff>
    </xdr:to>
    <xdr:sp macro="" textlink="">
      <xdr:nvSpPr>
        <xdr:cNvPr id="46" name="ZoneTexte 24">
          <a:extLst>
            <a:ext uri="{FF2B5EF4-FFF2-40B4-BE49-F238E27FC236}">
              <a16:creationId xmlns:a16="http://schemas.microsoft.com/office/drawing/2014/main" id="{612B0048-F3E7-414F-947C-F7D94EB93E09}"/>
            </a:ext>
          </a:extLst>
        </xdr:cNvPr>
        <xdr:cNvSpPr txBox="1"/>
      </xdr:nvSpPr>
      <xdr:spPr>
        <a:xfrm>
          <a:off x="1543273" y="170604628"/>
          <a:ext cx="5715449" cy="5374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d'enfants de moins</a:t>
          </a:r>
          <a:r>
            <a:rPr lang="fr-FR" sz="1400" b="1" baseline="0"/>
            <a:t> de trois ans</a:t>
          </a:r>
          <a:endParaRPr lang="fr-FR" sz="1400" b="1"/>
        </a:p>
        <a:p>
          <a:pPr algn="ctr"/>
          <a:endParaRPr lang="fr-FR" sz="1400" b="1"/>
        </a:p>
      </xdr:txBody>
    </xdr:sp>
    <xdr:clientData/>
  </xdr:twoCellAnchor>
  <xdr:twoCellAnchor>
    <xdr:from>
      <xdr:col>1</xdr:col>
      <xdr:colOff>457201</xdr:colOff>
      <xdr:row>942</xdr:row>
      <xdr:rowOff>104774</xdr:rowOff>
    </xdr:from>
    <xdr:to>
      <xdr:col>7</xdr:col>
      <xdr:colOff>552451</xdr:colOff>
      <xdr:row>951</xdr:row>
      <xdr:rowOff>118274</xdr:rowOff>
    </xdr:to>
    <xdr:sp macro="" textlink="">
      <xdr:nvSpPr>
        <xdr:cNvPr id="47" name="ZoneTexte 25">
          <a:extLst>
            <a:ext uri="{FF2B5EF4-FFF2-40B4-BE49-F238E27FC236}">
              <a16:creationId xmlns:a16="http://schemas.microsoft.com/office/drawing/2014/main" id="{E658803B-4AB8-4AD8-9CD9-26223017DACA}"/>
            </a:ext>
          </a:extLst>
        </xdr:cNvPr>
        <xdr:cNvSpPr txBox="1"/>
      </xdr:nvSpPr>
      <xdr:spPr>
        <a:xfrm>
          <a:off x="1249681" y="17529619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chemeClr val="dk1"/>
              </a:solidFill>
              <a:effectLst/>
              <a:latin typeface="+mn-lt"/>
              <a:ea typeface="+mn-ea"/>
              <a:cs typeface="+mn-cs"/>
            </a:rPr>
            <a:t>16% au plus 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958</xdr:row>
      <xdr:rowOff>142875</xdr:rowOff>
    </xdr:from>
    <xdr:ext cx="184731" cy="264560"/>
    <xdr:sp macro="" textlink="">
      <xdr:nvSpPr>
        <xdr:cNvPr id="48" name="ZoneTexte 26">
          <a:extLst>
            <a:ext uri="{FF2B5EF4-FFF2-40B4-BE49-F238E27FC236}">
              <a16:creationId xmlns:a16="http://schemas.microsoft.com/office/drawing/2014/main" id="{3DC5A8DD-1573-4DCD-8638-4923AA928461}"/>
            </a:ext>
          </a:extLst>
        </xdr:cNvPr>
        <xdr:cNvSpPr txBox="1"/>
      </xdr:nvSpPr>
      <xdr:spPr>
        <a:xfrm>
          <a:off x="11557635" y="1782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954</xdr:row>
      <xdr:rowOff>161925</xdr:rowOff>
    </xdr:from>
    <xdr:to>
      <xdr:col>7</xdr:col>
      <xdr:colOff>609600</xdr:colOff>
      <xdr:row>957</xdr:row>
      <xdr:rowOff>85725</xdr:rowOff>
    </xdr:to>
    <xdr:sp macro="" textlink="">
      <xdr:nvSpPr>
        <xdr:cNvPr id="49" name="ZoneTexte 27">
          <a:extLst>
            <a:ext uri="{FF2B5EF4-FFF2-40B4-BE49-F238E27FC236}">
              <a16:creationId xmlns:a16="http://schemas.microsoft.com/office/drawing/2014/main" id="{22862785-24B5-4355-B522-C7BFADBD5C08}"/>
            </a:ext>
          </a:extLst>
        </xdr:cNvPr>
        <xdr:cNvSpPr txBox="1"/>
      </xdr:nvSpPr>
      <xdr:spPr>
        <a:xfrm>
          <a:off x="1297305" y="17754790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32 % au moins des heures d’encadrement prestées par du personnel qualifié doit être assuré par des personnes faisant valoir des qualifications professionnelles de type postsecondaire :</a:t>
          </a:r>
        </a:p>
        <a:p>
          <a:endParaRPr lang="fr-FR" sz="1100"/>
        </a:p>
      </xdr:txBody>
    </xdr:sp>
    <xdr:clientData/>
  </xdr:twoCellAnchor>
  <xdr:twoCellAnchor>
    <xdr:from>
      <xdr:col>1</xdr:col>
      <xdr:colOff>457201</xdr:colOff>
      <xdr:row>942</xdr:row>
      <xdr:rowOff>104774</xdr:rowOff>
    </xdr:from>
    <xdr:to>
      <xdr:col>7</xdr:col>
      <xdr:colOff>552451</xdr:colOff>
      <xdr:row>951</xdr:row>
      <xdr:rowOff>118274</xdr:rowOff>
    </xdr:to>
    <xdr:sp macro="" textlink="">
      <xdr:nvSpPr>
        <xdr:cNvPr id="50" name="ZoneTexte 25">
          <a:extLst>
            <a:ext uri="{FF2B5EF4-FFF2-40B4-BE49-F238E27FC236}">
              <a16:creationId xmlns:a16="http://schemas.microsoft.com/office/drawing/2014/main" id="{AED0465B-50D4-47F4-A363-57F2CCCE51C7}"/>
            </a:ext>
          </a:extLst>
        </xdr:cNvPr>
        <xdr:cNvSpPr txBox="1"/>
      </xdr:nvSpPr>
      <xdr:spPr>
        <a:xfrm>
          <a:off x="1249681" y="17529619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t>
          </a:r>
          <a:r>
            <a:rPr lang="fr-FR" sz="1100">
              <a:solidFill>
                <a:schemeClr val="dk1"/>
              </a:solidFill>
              <a:effectLst/>
              <a:latin typeface="+mn-lt"/>
              <a:ea typeface="+mn-ea"/>
              <a:cs typeface="+mn-cs"/>
            </a:rPr>
            <a:t>au plus 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958</xdr:row>
      <xdr:rowOff>142875</xdr:rowOff>
    </xdr:from>
    <xdr:ext cx="184731" cy="264560"/>
    <xdr:sp macro="" textlink="">
      <xdr:nvSpPr>
        <xdr:cNvPr id="51" name="ZoneTexte 26">
          <a:extLst>
            <a:ext uri="{FF2B5EF4-FFF2-40B4-BE49-F238E27FC236}">
              <a16:creationId xmlns:a16="http://schemas.microsoft.com/office/drawing/2014/main" id="{53C9AABC-899A-4D20-BD40-14EABECD237F}"/>
            </a:ext>
          </a:extLst>
        </xdr:cNvPr>
        <xdr:cNvSpPr txBox="1"/>
      </xdr:nvSpPr>
      <xdr:spPr>
        <a:xfrm>
          <a:off x="11557635" y="1782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954</xdr:row>
      <xdr:rowOff>161925</xdr:rowOff>
    </xdr:from>
    <xdr:to>
      <xdr:col>7</xdr:col>
      <xdr:colOff>609600</xdr:colOff>
      <xdr:row>957</xdr:row>
      <xdr:rowOff>85725</xdr:rowOff>
    </xdr:to>
    <xdr:sp macro="" textlink="">
      <xdr:nvSpPr>
        <xdr:cNvPr id="52" name="ZoneTexte 27">
          <a:extLst>
            <a:ext uri="{FF2B5EF4-FFF2-40B4-BE49-F238E27FC236}">
              <a16:creationId xmlns:a16="http://schemas.microsoft.com/office/drawing/2014/main" id="{C607C3E1-94F6-4D69-999C-957930DEEB97}"/>
            </a:ext>
          </a:extLst>
        </xdr:cNvPr>
        <xdr:cNvSpPr txBox="1"/>
      </xdr:nvSpPr>
      <xdr:spPr>
        <a:xfrm>
          <a:off x="1297305" y="17754790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40 % </a:t>
          </a:r>
          <a:r>
            <a:rPr lang="fr-FR" sz="1100"/>
            <a:t>au moins des heures d’encadrement prestées par du personnel qualifié doit être assuré par des personnes faisant valoir des qualifications professionnelles de type postsecondaire :</a:t>
          </a:r>
        </a:p>
        <a:p>
          <a:endParaRPr lang="fr-FR" sz="1100"/>
        </a:p>
      </xdr:txBody>
    </xdr:sp>
    <xdr:clientData/>
  </xdr:twoCellAnchor>
  <xdr:twoCellAnchor>
    <xdr:from>
      <xdr:col>1</xdr:col>
      <xdr:colOff>750793</xdr:colOff>
      <xdr:row>723</xdr:row>
      <xdr:rowOff>72840</xdr:rowOff>
    </xdr:from>
    <xdr:to>
      <xdr:col>3</xdr:col>
      <xdr:colOff>918881</xdr:colOff>
      <xdr:row>725</xdr:row>
      <xdr:rowOff>33620</xdr:rowOff>
    </xdr:to>
    <xdr:sp macro="" textlink="">
      <xdr:nvSpPr>
        <xdr:cNvPr id="53" name="ZoneTexte 9">
          <a:extLst>
            <a:ext uri="{FF2B5EF4-FFF2-40B4-BE49-F238E27FC236}">
              <a16:creationId xmlns:a16="http://schemas.microsoft.com/office/drawing/2014/main" id="{A9C66464-1E9D-4AB3-974C-95107F8A3558}"/>
            </a:ext>
          </a:extLst>
        </xdr:cNvPr>
        <xdr:cNvSpPr txBox="1"/>
      </xdr:nvSpPr>
      <xdr:spPr>
        <a:xfrm>
          <a:off x="1543273" y="135167820"/>
          <a:ext cx="5905948" cy="326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orthopédagogique Jour</a:t>
          </a:r>
        </a:p>
        <a:p>
          <a:pPr algn="ctr"/>
          <a:endParaRPr lang="fr-FR" sz="1400" b="1"/>
        </a:p>
      </xdr:txBody>
    </xdr:sp>
    <xdr:clientData/>
  </xdr:twoCellAnchor>
  <xdr:twoCellAnchor>
    <xdr:from>
      <xdr:col>1</xdr:col>
      <xdr:colOff>457201</xdr:colOff>
      <xdr:row>753</xdr:row>
      <xdr:rowOff>104774</xdr:rowOff>
    </xdr:from>
    <xdr:to>
      <xdr:col>7</xdr:col>
      <xdr:colOff>552451</xdr:colOff>
      <xdr:row>762</xdr:row>
      <xdr:rowOff>118274</xdr:rowOff>
    </xdr:to>
    <xdr:sp macro="" textlink="">
      <xdr:nvSpPr>
        <xdr:cNvPr id="54" name="ZoneTexte 10">
          <a:extLst>
            <a:ext uri="{FF2B5EF4-FFF2-40B4-BE49-F238E27FC236}">
              <a16:creationId xmlns:a16="http://schemas.microsoft.com/office/drawing/2014/main" id="{9964A56F-7C7C-4659-9AF3-F2E88A246870}"/>
            </a:ext>
          </a:extLst>
        </xdr:cNvPr>
        <xdr:cNvSpPr txBox="1"/>
      </xdr:nvSpPr>
      <xdr:spPr>
        <a:xfrm>
          <a:off x="1249681" y="14068615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 au </a:t>
          </a:r>
          <a:r>
            <a:rPr lang="fr-FR" sz="1100">
              <a:solidFill>
                <a:schemeClr val="dk1"/>
              </a:solidFill>
              <a:effectLst/>
              <a:latin typeface="+mn-lt"/>
              <a:ea typeface="+mn-ea"/>
              <a:cs typeface="+mn-cs"/>
            </a:rPr>
            <a:t>plus 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772</xdr:row>
      <xdr:rowOff>142875</xdr:rowOff>
    </xdr:from>
    <xdr:ext cx="184731" cy="264560"/>
    <xdr:sp macro="" textlink="">
      <xdr:nvSpPr>
        <xdr:cNvPr id="55" name="ZoneTexte 11">
          <a:extLst>
            <a:ext uri="{FF2B5EF4-FFF2-40B4-BE49-F238E27FC236}">
              <a16:creationId xmlns:a16="http://schemas.microsoft.com/office/drawing/2014/main" id="{94857AA9-E0F0-4D93-BA12-1AEC3299EF89}"/>
            </a:ext>
          </a:extLst>
        </xdr:cNvPr>
        <xdr:cNvSpPr txBox="1"/>
      </xdr:nvSpPr>
      <xdr:spPr>
        <a:xfrm>
          <a:off x="11557635" y="14419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768</xdr:row>
      <xdr:rowOff>161925</xdr:rowOff>
    </xdr:from>
    <xdr:to>
      <xdr:col>7</xdr:col>
      <xdr:colOff>609600</xdr:colOff>
      <xdr:row>771</xdr:row>
      <xdr:rowOff>85725</xdr:rowOff>
    </xdr:to>
    <xdr:sp macro="" textlink="">
      <xdr:nvSpPr>
        <xdr:cNvPr id="56" name="ZoneTexte 12">
          <a:extLst>
            <a:ext uri="{FF2B5EF4-FFF2-40B4-BE49-F238E27FC236}">
              <a16:creationId xmlns:a16="http://schemas.microsoft.com/office/drawing/2014/main" id="{5374F443-88C1-422C-85A9-A616DC703B96}"/>
            </a:ext>
          </a:extLst>
        </xdr:cNvPr>
        <xdr:cNvSpPr txBox="1"/>
      </xdr:nvSpPr>
      <xdr:spPr>
        <a:xfrm>
          <a:off x="1297305" y="14348650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30 % au </a:t>
          </a:r>
          <a:r>
            <a:rPr lang="fr-FR" sz="1100"/>
            <a:t>moins des heures d’encadrement prestées par du personnel qualifié doit être assuré par des personnes faisant valoir des qualifications professionnelles de type postsecondaire :</a:t>
          </a:r>
        </a:p>
        <a:p>
          <a:endParaRPr lang="fr-FR" sz="1100"/>
        </a:p>
      </xdr:txBody>
    </xdr:sp>
    <xdr:clientData/>
  </xdr:twoCellAnchor>
  <xdr:twoCellAnchor>
    <xdr:from>
      <xdr:col>1</xdr:col>
      <xdr:colOff>750793</xdr:colOff>
      <xdr:row>857</xdr:row>
      <xdr:rowOff>72840</xdr:rowOff>
    </xdr:from>
    <xdr:to>
      <xdr:col>3</xdr:col>
      <xdr:colOff>918881</xdr:colOff>
      <xdr:row>859</xdr:row>
      <xdr:rowOff>33620</xdr:rowOff>
    </xdr:to>
    <xdr:sp macro="" textlink="">
      <xdr:nvSpPr>
        <xdr:cNvPr id="57" name="ZoneTexte 9">
          <a:extLst>
            <a:ext uri="{FF2B5EF4-FFF2-40B4-BE49-F238E27FC236}">
              <a16:creationId xmlns:a16="http://schemas.microsoft.com/office/drawing/2014/main" id="{1F3E41BC-5B32-4148-83F6-365643CEB2A4}"/>
            </a:ext>
          </a:extLst>
        </xdr:cNvPr>
        <xdr:cNvSpPr txBox="1"/>
      </xdr:nvSpPr>
      <xdr:spPr>
        <a:xfrm>
          <a:off x="1543273" y="159704220"/>
          <a:ext cx="5905948" cy="326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t>Accueil psychothérapeutique Jour</a:t>
          </a:r>
        </a:p>
        <a:p>
          <a:pPr algn="ctr"/>
          <a:endParaRPr lang="fr-FR" sz="1400" b="1"/>
        </a:p>
      </xdr:txBody>
    </xdr:sp>
    <xdr:clientData/>
  </xdr:twoCellAnchor>
  <xdr:twoCellAnchor>
    <xdr:from>
      <xdr:col>1</xdr:col>
      <xdr:colOff>457201</xdr:colOff>
      <xdr:row>887</xdr:row>
      <xdr:rowOff>104774</xdr:rowOff>
    </xdr:from>
    <xdr:to>
      <xdr:col>7</xdr:col>
      <xdr:colOff>552451</xdr:colOff>
      <xdr:row>896</xdr:row>
      <xdr:rowOff>118274</xdr:rowOff>
    </xdr:to>
    <xdr:sp macro="" textlink="">
      <xdr:nvSpPr>
        <xdr:cNvPr id="58" name="ZoneTexte 10">
          <a:extLst>
            <a:ext uri="{FF2B5EF4-FFF2-40B4-BE49-F238E27FC236}">
              <a16:creationId xmlns:a16="http://schemas.microsoft.com/office/drawing/2014/main" id="{F240CC47-D26B-4FCF-8A9C-401784A257B0}"/>
            </a:ext>
          </a:extLst>
        </xdr:cNvPr>
        <xdr:cNvSpPr txBox="1"/>
      </xdr:nvSpPr>
      <xdr:spPr>
        <a:xfrm>
          <a:off x="1249681" y="165222554"/>
          <a:ext cx="13834110" cy="165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a:solidFill>
                <a:sysClr val="windowText" lastClr="000000"/>
              </a:solidFill>
              <a:effectLst/>
              <a:latin typeface="+mn-lt"/>
              <a:ea typeface="+mn-ea"/>
              <a:cs typeface="+mn-cs"/>
            </a:rPr>
            <a:t>20% </a:t>
          </a:r>
          <a:r>
            <a:rPr lang="fr-FR" sz="1100">
              <a:solidFill>
                <a:schemeClr val="dk1"/>
              </a:solidFill>
              <a:effectLst/>
              <a:latin typeface="+mn-lt"/>
              <a:ea typeface="+mn-ea"/>
              <a:cs typeface="+mn-cs"/>
            </a:rPr>
            <a:t>au plus des heures d’encadrement à prester par du personnel qualifié au sens de l’article 15 peut être presté par les détenteurs de certificats énoncés à l’alinéa 2 de l’article 15, à savoir :</a:t>
          </a:r>
        </a:p>
        <a:p>
          <a:r>
            <a:rPr lang="fr-FR" sz="1100">
              <a:solidFill>
                <a:schemeClr val="dk1"/>
              </a:solidFill>
              <a:effectLst/>
              <a:latin typeface="+mn-lt"/>
              <a:ea typeface="+mn-ea"/>
              <a:cs typeface="+mn-cs"/>
            </a:rPr>
            <a:t>	-    auxiliaire économe et auxiliaire de vie</a:t>
          </a:r>
        </a:p>
        <a:p>
          <a:r>
            <a:rPr lang="fr-FR" sz="1100">
              <a:solidFill>
                <a:schemeClr val="dk1"/>
              </a:solidFill>
              <a:effectLst/>
              <a:latin typeface="+mn-lt"/>
              <a:ea typeface="+mn-ea"/>
              <a:cs typeface="+mn-cs"/>
            </a:rPr>
            <a:t>	-    aide sociofamiliale</a:t>
          </a:r>
        </a:p>
        <a:p>
          <a:r>
            <a:rPr lang="fr-FR" sz="1100">
              <a:solidFill>
                <a:schemeClr val="dk1"/>
              </a:solidFill>
              <a:effectLst/>
              <a:latin typeface="+mn-lt"/>
              <a:ea typeface="+mn-ea"/>
              <a:cs typeface="+mn-cs"/>
            </a:rPr>
            <a:t>	-    CATP, diplôme d’aptitude professionnelle, diplôme de technicien et </a:t>
          </a:r>
        </a:p>
        <a:p>
          <a:r>
            <a:rPr lang="fr-FR" sz="1100">
              <a:solidFill>
                <a:schemeClr val="dk1"/>
              </a:solidFill>
              <a:effectLst/>
              <a:latin typeface="+mn-lt"/>
              <a:ea typeface="+mn-ea"/>
              <a:cs typeface="+mn-cs"/>
            </a:rPr>
            <a:t>	-    personne ayant terminé avec succès 5 années d’enseignement </a:t>
          </a:r>
        </a:p>
        <a:p>
          <a:r>
            <a:rPr lang="fr-FR" sz="1100">
              <a:solidFill>
                <a:schemeClr val="dk1"/>
              </a:solidFill>
              <a:effectLst/>
              <a:latin typeface="+mn-lt"/>
              <a:ea typeface="+mn-ea"/>
              <a:cs typeface="+mn-cs"/>
            </a:rPr>
            <a:t>	-    secondaire, dont condition 100 heures de formation continue dans le</a:t>
          </a:r>
        </a:p>
        <a:p>
          <a:r>
            <a:rPr lang="fr-FR" sz="1100">
              <a:solidFill>
                <a:schemeClr val="dk1"/>
              </a:solidFill>
              <a:effectLst/>
              <a:latin typeface="+mn-lt"/>
              <a:ea typeface="+mn-ea"/>
              <a:cs typeface="+mn-cs"/>
            </a:rPr>
            <a:t>	 -   domaine socio-éducatif reconnue par le Ministre ayant dans ses </a:t>
          </a:r>
        </a:p>
        <a:p>
          <a:r>
            <a:rPr lang="fr-FR" sz="1100">
              <a:solidFill>
                <a:schemeClr val="dk1"/>
              </a:solidFill>
              <a:effectLst/>
              <a:latin typeface="+mn-lt"/>
              <a:ea typeface="+mn-ea"/>
              <a:cs typeface="+mn-cs"/>
            </a:rPr>
            <a:t>	-    attributions la formation professionnelle.	</a:t>
          </a:r>
        </a:p>
        <a:p>
          <a:endParaRPr lang="fr-FR" sz="1100"/>
        </a:p>
      </xdr:txBody>
    </xdr:sp>
    <xdr:clientData/>
  </xdr:twoCellAnchor>
  <xdr:oneCellAnchor>
    <xdr:from>
      <xdr:col>5</xdr:col>
      <xdr:colOff>1019175</xdr:colOff>
      <xdr:row>906</xdr:row>
      <xdr:rowOff>142875</xdr:rowOff>
    </xdr:from>
    <xdr:ext cx="184731" cy="264560"/>
    <xdr:sp macro="" textlink="">
      <xdr:nvSpPr>
        <xdr:cNvPr id="59" name="ZoneTexte 11">
          <a:extLst>
            <a:ext uri="{FF2B5EF4-FFF2-40B4-BE49-F238E27FC236}">
              <a16:creationId xmlns:a16="http://schemas.microsoft.com/office/drawing/2014/main" id="{892B6B6D-2519-403F-A7A3-4DC1D8CF99EE}"/>
            </a:ext>
          </a:extLst>
        </xdr:cNvPr>
        <xdr:cNvSpPr txBox="1"/>
      </xdr:nvSpPr>
      <xdr:spPr>
        <a:xfrm>
          <a:off x="11557635" y="16873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504825</xdr:colOff>
      <xdr:row>902</xdr:row>
      <xdr:rowOff>161925</xdr:rowOff>
    </xdr:from>
    <xdr:to>
      <xdr:col>7</xdr:col>
      <xdr:colOff>609600</xdr:colOff>
      <xdr:row>905</xdr:row>
      <xdr:rowOff>85725</xdr:rowOff>
    </xdr:to>
    <xdr:sp macro="" textlink="">
      <xdr:nvSpPr>
        <xdr:cNvPr id="60" name="ZoneTexte 12">
          <a:extLst>
            <a:ext uri="{FF2B5EF4-FFF2-40B4-BE49-F238E27FC236}">
              <a16:creationId xmlns:a16="http://schemas.microsoft.com/office/drawing/2014/main" id="{F8926AC2-3987-40A6-83E8-0BA69A2421D2}"/>
            </a:ext>
          </a:extLst>
        </xdr:cNvPr>
        <xdr:cNvSpPr txBox="1"/>
      </xdr:nvSpPr>
      <xdr:spPr>
        <a:xfrm>
          <a:off x="1297305" y="168022905"/>
          <a:ext cx="1384363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40 % au </a:t>
          </a:r>
          <a:r>
            <a:rPr lang="fr-FR" sz="1100"/>
            <a:t>moins des heures d’encadrement</a:t>
          </a:r>
          <a:r>
            <a:rPr lang="fr-FR" sz="1100" baseline="0"/>
            <a:t> </a:t>
          </a:r>
          <a:r>
            <a:rPr lang="fr-FR" sz="1100"/>
            <a:t>prestées par du personnel qualifié doit être assuré par des personnes faisant valoir des qualifications professionnelles de type postsecondaire :</a:t>
          </a:r>
        </a:p>
        <a:p>
          <a:endParaRPr lang="fr-FR" sz="1100"/>
        </a:p>
      </xdr:txBody>
    </xdr:sp>
    <xdr:clientData/>
  </xdr:twoCellAnchor>
  <xdr:twoCellAnchor>
    <xdr:from>
      <xdr:col>1</xdr:col>
      <xdr:colOff>567219</xdr:colOff>
      <xdr:row>1038</xdr:row>
      <xdr:rowOff>107022</xdr:rowOff>
    </xdr:from>
    <xdr:to>
      <xdr:col>7</xdr:col>
      <xdr:colOff>500758</xdr:colOff>
      <xdr:row>1040</xdr:row>
      <xdr:rowOff>163066</xdr:rowOff>
    </xdr:to>
    <xdr:sp macro="" textlink="">
      <xdr:nvSpPr>
        <xdr:cNvPr id="61" name="ZoneTexte 23">
          <a:extLst>
            <a:ext uri="{FF2B5EF4-FFF2-40B4-BE49-F238E27FC236}">
              <a16:creationId xmlns:a16="http://schemas.microsoft.com/office/drawing/2014/main" id="{151D2806-D439-4C8A-B7EC-AC32B5EE2988}"/>
            </a:ext>
          </a:extLst>
        </xdr:cNvPr>
        <xdr:cNvSpPr txBox="1"/>
      </xdr:nvSpPr>
      <xdr:spPr>
        <a:xfrm>
          <a:off x="1359699" y="192870162"/>
          <a:ext cx="13672399" cy="421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642135</xdr:colOff>
      <xdr:row>960</xdr:row>
      <xdr:rowOff>107021</xdr:rowOff>
    </xdr:from>
    <xdr:to>
      <xdr:col>7</xdr:col>
      <xdr:colOff>575674</xdr:colOff>
      <xdr:row>962</xdr:row>
      <xdr:rowOff>163066</xdr:rowOff>
    </xdr:to>
    <xdr:sp macro="" textlink="">
      <xdr:nvSpPr>
        <xdr:cNvPr id="62" name="ZoneTexte 23">
          <a:extLst>
            <a:ext uri="{FF2B5EF4-FFF2-40B4-BE49-F238E27FC236}">
              <a16:creationId xmlns:a16="http://schemas.microsoft.com/office/drawing/2014/main" id="{ECD82B00-1C58-4064-8C88-918419E88430}"/>
            </a:ext>
          </a:extLst>
        </xdr:cNvPr>
        <xdr:cNvSpPr txBox="1"/>
      </xdr:nvSpPr>
      <xdr:spPr>
        <a:xfrm>
          <a:off x="1434615" y="178590281"/>
          <a:ext cx="13672399" cy="421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610028</xdr:colOff>
      <xdr:row>908</xdr:row>
      <xdr:rowOff>85618</xdr:rowOff>
    </xdr:from>
    <xdr:to>
      <xdr:col>7</xdr:col>
      <xdr:colOff>543567</xdr:colOff>
      <xdr:row>910</xdr:row>
      <xdr:rowOff>141662</xdr:rowOff>
    </xdr:to>
    <xdr:sp macro="" textlink="">
      <xdr:nvSpPr>
        <xdr:cNvPr id="63" name="ZoneTexte 23">
          <a:extLst>
            <a:ext uri="{FF2B5EF4-FFF2-40B4-BE49-F238E27FC236}">
              <a16:creationId xmlns:a16="http://schemas.microsoft.com/office/drawing/2014/main" id="{3F801D72-F38F-4CF0-9308-559CD6D11775}"/>
            </a:ext>
          </a:extLst>
        </xdr:cNvPr>
        <xdr:cNvSpPr txBox="1"/>
      </xdr:nvSpPr>
      <xdr:spPr>
        <a:xfrm>
          <a:off x="1402508" y="169043878"/>
          <a:ext cx="13672399" cy="421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567219</xdr:colOff>
      <xdr:row>849</xdr:row>
      <xdr:rowOff>107022</xdr:rowOff>
    </xdr:from>
    <xdr:to>
      <xdr:col>7</xdr:col>
      <xdr:colOff>500758</xdr:colOff>
      <xdr:row>851</xdr:row>
      <xdr:rowOff>163066</xdr:rowOff>
    </xdr:to>
    <xdr:sp macro="" textlink="">
      <xdr:nvSpPr>
        <xdr:cNvPr id="64" name="ZoneTexte 23">
          <a:extLst>
            <a:ext uri="{FF2B5EF4-FFF2-40B4-BE49-F238E27FC236}">
              <a16:creationId xmlns:a16="http://schemas.microsoft.com/office/drawing/2014/main" id="{E17EB8BA-83C0-46E6-A6D6-3D0B50B409F5}"/>
            </a:ext>
          </a:extLst>
        </xdr:cNvPr>
        <xdr:cNvSpPr txBox="1"/>
      </xdr:nvSpPr>
      <xdr:spPr>
        <a:xfrm>
          <a:off x="1359699" y="158260122"/>
          <a:ext cx="13672399" cy="421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577922</xdr:colOff>
      <xdr:row>774</xdr:row>
      <xdr:rowOff>96320</xdr:rowOff>
    </xdr:from>
    <xdr:to>
      <xdr:col>7</xdr:col>
      <xdr:colOff>511461</xdr:colOff>
      <xdr:row>776</xdr:row>
      <xdr:rowOff>152365</xdr:rowOff>
    </xdr:to>
    <xdr:sp macro="" textlink="">
      <xdr:nvSpPr>
        <xdr:cNvPr id="65" name="ZoneTexte 23">
          <a:extLst>
            <a:ext uri="{FF2B5EF4-FFF2-40B4-BE49-F238E27FC236}">
              <a16:creationId xmlns:a16="http://schemas.microsoft.com/office/drawing/2014/main" id="{975481F4-FF49-46A0-819F-F56540EC425E}"/>
            </a:ext>
          </a:extLst>
        </xdr:cNvPr>
        <xdr:cNvSpPr txBox="1"/>
      </xdr:nvSpPr>
      <xdr:spPr>
        <a:xfrm>
          <a:off x="1370402" y="144518180"/>
          <a:ext cx="13672399" cy="421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567219</xdr:colOff>
      <xdr:row>714</xdr:row>
      <xdr:rowOff>139129</xdr:rowOff>
    </xdr:from>
    <xdr:to>
      <xdr:col>7</xdr:col>
      <xdr:colOff>500758</xdr:colOff>
      <xdr:row>717</xdr:row>
      <xdr:rowOff>2533</xdr:rowOff>
    </xdr:to>
    <xdr:sp macro="" textlink="">
      <xdr:nvSpPr>
        <xdr:cNvPr id="66" name="ZoneTexte 23">
          <a:extLst>
            <a:ext uri="{FF2B5EF4-FFF2-40B4-BE49-F238E27FC236}">
              <a16:creationId xmlns:a16="http://schemas.microsoft.com/office/drawing/2014/main" id="{C8C96832-5D3D-4D10-9E17-5356529CB2CF}"/>
            </a:ext>
          </a:extLst>
        </xdr:cNvPr>
        <xdr:cNvSpPr txBox="1"/>
      </xdr:nvSpPr>
      <xdr:spPr>
        <a:xfrm>
          <a:off x="1359699" y="133572949"/>
          <a:ext cx="13672399" cy="412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1</xdr:col>
      <xdr:colOff>610028</xdr:colOff>
      <xdr:row>643</xdr:row>
      <xdr:rowOff>96321</xdr:rowOff>
    </xdr:from>
    <xdr:to>
      <xdr:col>7</xdr:col>
      <xdr:colOff>543567</xdr:colOff>
      <xdr:row>645</xdr:row>
      <xdr:rowOff>152365</xdr:rowOff>
    </xdr:to>
    <xdr:sp macro="" textlink="">
      <xdr:nvSpPr>
        <xdr:cNvPr id="67" name="ZoneTexte 23">
          <a:extLst>
            <a:ext uri="{FF2B5EF4-FFF2-40B4-BE49-F238E27FC236}">
              <a16:creationId xmlns:a16="http://schemas.microsoft.com/office/drawing/2014/main" id="{A3F7B3BC-CD82-4B6C-840A-D1C213479442}"/>
            </a:ext>
          </a:extLst>
        </xdr:cNvPr>
        <xdr:cNvSpPr txBox="1"/>
      </xdr:nvSpPr>
      <xdr:spPr>
        <a:xfrm>
          <a:off x="1402508" y="120530421"/>
          <a:ext cx="13672399" cy="421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Le restant doit être presté</a:t>
          </a:r>
          <a:r>
            <a:rPr lang="fr-FR" sz="1100" baseline="0"/>
            <a:t> par du personnel qualifié au sens de l'article 15 alinéa 1 </a:t>
          </a:r>
          <a:r>
            <a:rPr lang="fr-FR" sz="1100" baseline="0">
              <a:solidFill>
                <a:schemeClr val="dk1"/>
              </a:solidFill>
              <a:effectLst/>
              <a:latin typeface="+mn-lt"/>
              <a:ea typeface="+mn-ea"/>
              <a:cs typeface="+mn-cs"/>
            </a:rPr>
            <a:t>(en dehors des qualifications de type postsecondaire).</a:t>
          </a:r>
          <a:endParaRPr lang="fr-FR" sz="1100"/>
        </a:p>
      </xdr:txBody>
    </xdr:sp>
    <xdr:clientData/>
  </xdr:twoCellAnchor>
  <xdr:twoCellAnchor>
    <xdr:from>
      <xdr:col>5</xdr:col>
      <xdr:colOff>25121</xdr:colOff>
      <xdr:row>557</xdr:row>
      <xdr:rowOff>58615</xdr:rowOff>
    </xdr:from>
    <xdr:to>
      <xdr:col>6</xdr:col>
      <xdr:colOff>1775208</xdr:colOff>
      <xdr:row>564</xdr:row>
      <xdr:rowOff>8374</xdr:rowOff>
    </xdr:to>
    <xdr:sp macro="" textlink="">
      <xdr:nvSpPr>
        <xdr:cNvPr id="68" name="TextBox 67">
          <a:extLst>
            <a:ext uri="{FF2B5EF4-FFF2-40B4-BE49-F238E27FC236}">
              <a16:creationId xmlns:a16="http://schemas.microsoft.com/office/drawing/2014/main" id="{DB33FCFC-E600-47A7-B12D-02D23E5B140B}"/>
            </a:ext>
          </a:extLst>
        </xdr:cNvPr>
        <xdr:cNvSpPr txBox="1"/>
      </xdr:nvSpPr>
      <xdr:spPr>
        <a:xfrm>
          <a:off x="10563581" y="104605015"/>
          <a:ext cx="3746527" cy="1229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b-LU" sz="1100"/>
            <a:t>Date,</a:t>
          </a:r>
          <a:r>
            <a:rPr lang="lb-LU" sz="1100" baseline="0"/>
            <a:t> nom et signature</a:t>
          </a:r>
          <a:endParaRPr lang="lb-LU" sz="1100"/>
        </a:p>
      </xdr:txBody>
    </xdr:sp>
    <xdr:clientData/>
  </xdr:twoCellAnchor>
  <xdr:twoCellAnchor>
    <xdr:from>
      <xdr:col>5</xdr:col>
      <xdr:colOff>66990</xdr:colOff>
      <xdr:row>1102</xdr:row>
      <xdr:rowOff>66989</xdr:rowOff>
    </xdr:from>
    <xdr:to>
      <xdr:col>6</xdr:col>
      <xdr:colOff>1817077</xdr:colOff>
      <xdr:row>1109</xdr:row>
      <xdr:rowOff>16748</xdr:rowOff>
    </xdr:to>
    <xdr:sp macro="" textlink="">
      <xdr:nvSpPr>
        <xdr:cNvPr id="69" name="TextBox 68">
          <a:extLst>
            <a:ext uri="{FF2B5EF4-FFF2-40B4-BE49-F238E27FC236}">
              <a16:creationId xmlns:a16="http://schemas.microsoft.com/office/drawing/2014/main" id="{15D25BCE-ADE3-40A8-9E03-497DE0100792}"/>
            </a:ext>
          </a:extLst>
        </xdr:cNvPr>
        <xdr:cNvSpPr txBox="1"/>
      </xdr:nvSpPr>
      <xdr:spPr>
        <a:xfrm>
          <a:off x="10605450" y="205692689"/>
          <a:ext cx="3746527" cy="1229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b-LU" sz="1100"/>
            <a:t>Date,</a:t>
          </a:r>
          <a:r>
            <a:rPr lang="lb-LU" sz="1100" baseline="0"/>
            <a:t> nom et signature</a:t>
          </a:r>
          <a:endParaRPr lang="lb-LU" sz="1100"/>
        </a:p>
      </xdr:txBody>
    </xdr:sp>
    <xdr:clientData/>
  </xdr:twoCellAnchor>
  <xdr:twoCellAnchor>
    <xdr:from>
      <xdr:col>5</xdr:col>
      <xdr:colOff>33494</xdr:colOff>
      <xdr:row>21</xdr:row>
      <xdr:rowOff>8374</xdr:rowOff>
    </xdr:from>
    <xdr:to>
      <xdr:col>6</xdr:col>
      <xdr:colOff>1783581</xdr:colOff>
      <xdr:row>27</xdr:row>
      <xdr:rowOff>142352</xdr:rowOff>
    </xdr:to>
    <xdr:sp macro="" textlink="">
      <xdr:nvSpPr>
        <xdr:cNvPr id="70" name="TextBox 69">
          <a:extLst>
            <a:ext uri="{FF2B5EF4-FFF2-40B4-BE49-F238E27FC236}">
              <a16:creationId xmlns:a16="http://schemas.microsoft.com/office/drawing/2014/main" id="{766F540E-E374-47E0-AFA6-693A6A0EB909}"/>
            </a:ext>
          </a:extLst>
        </xdr:cNvPr>
        <xdr:cNvSpPr txBox="1"/>
      </xdr:nvSpPr>
      <xdr:spPr>
        <a:xfrm>
          <a:off x="10571954" y="4816594"/>
          <a:ext cx="3746527" cy="1231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b-LU" sz="1100"/>
            <a:t>Date,</a:t>
          </a:r>
          <a:r>
            <a:rPr lang="lb-LU" sz="1100" baseline="0"/>
            <a:t> nom et signature</a:t>
          </a:r>
          <a:endParaRPr lang="lb-LU" sz="1100"/>
        </a:p>
      </xdr:txBody>
    </xdr:sp>
    <xdr:clientData/>
  </xdr:twoCellAnchor>
  <xdr:oneCellAnchor>
    <xdr:from>
      <xdr:col>5</xdr:col>
      <xdr:colOff>1019175</xdr:colOff>
      <xdr:row>225</xdr:row>
      <xdr:rowOff>142875</xdr:rowOff>
    </xdr:from>
    <xdr:ext cx="184731" cy="264560"/>
    <xdr:sp macro="" textlink="">
      <xdr:nvSpPr>
        <xdr:cNvPr id="71" name="ZoneTexte 6">
          <a:extLst>
            <a:ext uri="{FF2B5EF4-FFF2-40B4-BE49-F238E27FC236}">
              <a16:creationId xmlns:a16="http://schemas.microsoft.com/office/drawing/2014/main" id="{65CC9228-E2B8-4060-884A-B998DD8C191B}"/>
            </a:ext>
          </a:extLst>
        </xdr:cNvPr>
        <xdr:cNvSpPr txBox="1"/>
      </xdr:nvSpPr>
      <xdr:spPr>
        <a:xfrm>
          <a:off x="11557635" y="42677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281</xdr:row>
      <xdr:rowOff>142875</xdr:rowOff>
    </xdr:from>
    <xdr:ext cx="184731" cy="264560"/>
    <xdr:sp macro="" textlink="">
      <xdr:nvSpPr>
        <xdr:cNvPr id="72" name="ZoneTexte 11">
          <a:extLst>
            <a:ext uri="{FF2B5EF4-FFF2-40B4-BE49-F238E27FC236}">
              <a16:creationId xmlns:a16="http://schemas.microsoft.com/office/drawing/2014/main" id="{866812E1-2117-4024-BF4D-DE12350DF59C}"/>
            </a:ext>
          </a:extLst>
        </xdr:cNvPr>
        <xdr:cNvSpPr txBox="1"/>
      </xdr:nvSpPr>
      <xdr:spPr>
        <a:xfrm>
          <a:off x="11557635" y="530790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300</xdr:row>
      <xdr:rowOff>0</xdr:rowOff>
    </xdr:from>
    <xdr:ext cx="184731" cy="264560"/>
    <xdr:sp macro="" textlink="">
      <xdr:nvSpPr>
        <xdr:cNvPr id="73" name="ZoneTexte 16">
          <a:extLst>
            <a:ext uri="{FF2B5EF4-FFF2-40B4-BE49-F238E27FC236}">
              <a16:creationId xmlns:a16="http://schemas.microsoft.com/office/drawing/2014/main" id="{C046223D-4D77-46B8-87B6-EBFE2CE03760}"/>
            </a:ext>
          </a:extLst>
        </xdr:cNvPr>
        <xdr:cNvSpPr txBox="1"/>
      </xdr:nvSpPr>
      <xdr:spPr>
        <a:xfrm>
          <a:off x="11557635" y="56456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347</xdr:row>
      <xdr:rowOff>142875</xdr:rowOff>
    </xdr:from>
    <xdr:ext cx="184731" cy="264560"/>
    <xdr:sp macro="" textlink="">
      <xdr:nvSpPr>
        <xdr:cNvPr id="74" name="ZoneTexte 21">
          <a:extLst>
            <a:ext uri="{FF2B5EF4-FFF2-40B4-BE49-F238E27FC236}">
              <a16:creationId xmlns:a16="http://schemas.microsoft.com/office/drawing/2014/main" id="{8BF96914-5847-44D8-872B-3C35A736870A}"/>
            </a:ext>
          </a:extLst>
        </xdr:cNvPr>
        <xdr:cNvSpPr txBox="1"/>
      </xdr:nvSpPr>
      <xdr:spPr>
        <a:xfrm>
          <a:off x="11557635" y="652710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526</xdr:row>
      <xdr:rowOff>0</xdr:rowOff>
    </xdr:from>
    <xdr:ext cx="184731" cy="264560"/>
    <xdr:sp macro="" textlink="">
      <xdr:nvSpPr>
        <xdr:cNvPr id="75" name="ZoneTexte 26">
          <a:extLst>
            <a:ext uri="{FF2B5EF4-FFF2-40B4-BE49-F238E27FC236}">
              <a16:creationId xmlns:a16="http://schemas.microsoft.com/office/drawing/2014/main" id="{BAEBA290-2859-4934-A759-2A5021A18D8A}"/>
            </a:ext>
          </a:extLst>
        </xdr:cNvPr>
        <xdr:cNvSpPr txBox="1"/>
      </xdr:nvSpPr>
      <xdr:spPr>
        <a:xfrm>
          <a:off x="11557635" y="982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526</xdr:row>
      <xdr:rowOff>0</xdr:rowOff>
    </xdr:from>
    <xdr:ext cx="184731" cy="264560"/>
    <xdr:sp macro="" textlink="">
      <xdr:nvSpPr>
        <xdr:cNvPr id="76" name="ZoneTexte 31">
          <a:extLst>
            <a:ext uri="{FF2B5EF4-FFF2-40B4-BE49-F238E27FC236}">
              <a16:creationId xmlns:a16="http://schemas.microsoft.com/office/drawing/2014/main" id="{7C51C3DB-0AB8-4038-81E8-F6E3765B72DD}"/>
            </a:ext>
          </a:extLst>
        </xdr:cNvPr>
        <xdr:cNvSpPr txBox="1"/>
      </xdr:nvSpPr>
      <xdr:spPr>
        <a:xfrm>
          <a:off x="11557635" y="982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526</xdr:row>
      <xdr:rowOff>0</xdr:rowOff>
    </xdr:from>
    <xdr:ext cx="184731" cy="264560"/>
    <xdr:sp macro="" textlink="">
      <xdr:nvSpPr>
        <xdr:cNvPr id="77" name="ZoneTexte 31">
          <a:extLst>
            <a:ext uri="{FF2B5EF4-FFF2-40B4-BE49-F238E27FC236}">
              <a16:creationId xmlns:a16="http://schemas.microsoft.com/office/drawing/2014/main" id="{FBF10252-E456-4C1C-9134-2672EF4720A9}"/>
            </a:ext>
          </a:extLst>
        </xdr:cNvPr>
        <xdr:cNvSpPr txBox="1"/>
      </xdr:nvSpPr>
      <xdr:spPr>
        <a:xfrm>
          <a:off x="11557635" y="982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410</xdr:row>
      <xdr:rowOff>0</xdr:rowOff>
    </xdr:from>
    <xdr:ext cx="184731" cy="264560"/>
    <xdr:sp macro="" textlink="">
      <xdr:nvSpPr>
        <xdr:cNvPr id="78" name="ZoneTexte 6">
          <a:extLst>
            <a:ext uri="{FF2B5EF4-FFF2-40B4-BE49-F238E27FC236}">
              <a16:creationId xmlns:a16="http://schemas.microsoft.com/office/drawing/2014/main" id="{313D040A-8126-4159-B73D-B638CB60E008}"/>
            </a:ext>
          </a:extLst>
        </xdr:cNvPr>
        <xdr:cNvSpPr txBox="1"/>
      </xdr:nvSpPr>
      <xdr:spPr>
        <a:xfrm>
          <a:off x="11557635" y="76786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410</xdr:row>
      <xdr:rowOff>0</xdr:rowOff>
    </xdr:from>
    <xdr:ext cx="184731" cy="264560"/>
    <xdr:sp macro="" textlink="">
      <xdr:nvSpPr>
        <xdr:cNvPr id="79" name="ZoneTexte 11">
          <a:extLst>
            <a:ext uri="{FF2B5EF4-FFF2-40B4-BE49-F238E27FC236}">
              <a16:creationId xmlns:a16="http://schemas.microsoft.com/office/drawing/2014/main" id="{C5F9A0D7-D8A6-4137-8C52-8EE978D7A1CC}"/>
            </a:ext>
          </a:extLst>
        </xdr:cNvPr>
        <xdr:cNvSpPr txBox="1"/>
      </xdr:nvSpPr>
      <xdr:spPr>
        <a:xfrm>
          <a:off x="11557635" y="76786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458</xdr:row>
      <xdr:rowOff>142875</xdr:rowOff>
    </xdr:from>
    <xdr:ext cx="184731" cy="264560"/>
    <xdr:sp macro="" textlink="">
      <xdr:nvSpPr>
        <xdr:cNvPr id="80" name="ZoneTexte 16">
          <a:extLst>
            <a:ext uri="{FF2B5EF4-FFF2-40B4-BE49-F238E27FC236}">
              <a16:creationId xmlns:a16="http://schemas.microsoft.com/office/drawing/2014/main" id="{31FE2507-1E3F-462A-BB74-9487DF63AE33}"/>
            </a:ext>
          </a:extLst>
        </xdr:cNvPr>
        <xdr:cNvSpPr txBox="1"/>
      </xdr:nvSpPr>
      <xdr:spPr>
        <a:xfrm>
          <a:off x="11557635" y="85799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409</xdr:row>
      <xdr:rowOff>0</xdr:rowOff>
    </xdr:from>
    <xdr:ext cx="184731" cy="264560"/>
    <xdr:sp macro="" textlink="">
      <xdr:nvSpPr>
        <xdr:cNvPr id="81" name="ZoneTexte 6">
          <a:extLst>
            <a:ext uri="{FF2B5EF4-FFF2-40B4-BE49-F238E27FC236}">
              <a16:creationId xmlns:a16="http://schemas.microsoft.com/office/drawing/2014/main" id="{5699A758-B784-4CA3-B605-A4FB13C9B937}"/>
            </a:ext>
          </a:extLst>
        </xdr:cNvPr>
        <xdr:cNvSpPr txBox="1"/>
      </xdr:nvSpPr>
      <xdr:spPr>
        <a:xfrm>
          <a:off x="11557635" y="7660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357</xdr:row>
      <xdr:rowOff>0</xdr:rowOff>
    </xdr:from>
    <xdr:ext cx="184731" cy="264560"/>
    <xdr:sp macro="" textlink="">
      <xdr:nvSpPr>
        <xdr:cNvPr id="82" name="ZoneTexte 16">
          <a:extLst>
            <a:ext uri="{FF2B5EF4-FFF2-40B4-BE49-F238E27FC236}">
              <a16:creationId xmlns:a16="http://schemas.microsoft.com/office/drawing/2014/main" id="{4AB79646-6728-4D4D-8CD6-1D641CE5266B}"/>
            </a:ext>
          </a:extLst>
        </xdr:cNvPr>
        <xdr:cNvSpPr txBox="1"/>
      </xdr:nvSpPr>
      <xdr:spPr>
        <a:xfrm>
          <a:off x="11557635" y="66987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357</xdr:row>
      <xdr:rowOff>0</xdr:rowOff>
    </xdr:from>
    <xdr:ext cx="184731" cy="264560"/>
    <xdr:sp macro="" textlink="">
      <xdr:nvSpPr>
        <xdr:cNvPr id="83" name="ZoneTexte 21">
          <a:extLst>
            <a:ext uri="{FF2B5EF4-FFF2-40B4-BE49-F238E27FC236}">
              <a16:creationId xmlns:a16="http://schemas.microsoft.com/office/drawing/2014/main" id="{8EFB125C-F45F-44DD-887F-5DCB002E0BA1}"/>
            </a:ext>
          </a:extLst>
        </xdr:cNvPr>
        <xdr:cNvSpPr txBox="1"/>
      </xdr:nvSpPr>
      <xdr:spPr>
        <a:xfrm>
          <a:off x="11557635" y="66987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398</xdr:row>
      <xdr:rowOff>142875</xdr:rowOff>
    </xdr:from>
    <xdr:ext cx="184731" cy="264560"/>
    <xdr:sp macro="" textlink="">
      <xdr:nvSpPr>
        <xdr:cNvPr id="84" name="ZoneTexte 26">
          <a:extLst>
            <a:ext uri="{FF2B5EF4-FFF2-40B4-BE49-F238E27FC236}">
              <a16:creationId xmlns:a16="http://schemas.microsoft.com/office/drawing/2014/main" id="{36E9D108-17CD-4FB4-84AB-EF1A4BAF8C9C}"/>
            </a:ext>
          </a:extLst>
        </xdr:cNvPr>
        <xdr:cNvSpPr txBox="1"/>
      </xdr:nvSpPr>
      <xdr:spPr>
        <a:xfrm>
          <a:off x="11557635" y="7470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468</xdr:row>
      <xdr:rowOff>0</xdr:rowOff>
    </xdr:from>
    <xdr:ext cx="184731" cy="264560"/>
    <xdr:sp macro="" textlink="">
      <xdr:nvSpPr>
        <xdr:cNvPr id="85" name="ZoneTexte 6">
          <a:extLst>
            <a:ext uri="{FF2B5EF4-FFF2-40B4-BE49-F238E27FC236}">
              <a16:creationId xmlns:a16="http://schemas.microsoft.com/office/drawing/2014/main" id="{C78574E4-DE46-4962-9C4F-2A5385E013D6}"/>
            </a:ext>
          </a:extLst>
        </xdr:cNvPr>
        <xdr:cNvSpPr txBox="1"/>
      </xdr:nvSpPr>
      <xdr:spPr>
        <a:xfrm>
          <a:off x="11557635" y="87546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468</xdr:row>
      <xdr:rowOff>0</xdr:rowOff>
    </xdr:from>
    <xdr:ext cx="184731" cy="264560"/>
    <xdr:sp macro="" textlink="">
      <xdr:nvSpPr>
        <xdr:cNvPr id="86" name="ZoneTexte 11">
          <a:extLst>
            <a:ext uri="{FF2B5EF4-FFF2-40B4-BE49-F238E27FC236}">
              <a16:creationId xmlns:a16="http://schemas.microsoft.com/office/drawing/2014/main" id="{8AAD00E3-F648-413E-A42F-70DC14920F0E}"/>
            </a:ext>
          </a:extLst>
        </xdr:cNvPr>
        <xdr:cNvSpPr txBox="1"/>
      </xdr:nvSpPr>
      <xdr:spPr>
        <a:xfrm>
          <a:off x="11557635" y="87546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516</xdr:row>
      <xdr:rowOff>142875</xdr:rowOff>
    </xdr:from>
    <xdr:ext cx="184731" cy="264560"/>
    <xdr:sp macro="" textlink="">
      <xdr:nvSpPr>
        <xdr:cNvPr id="87" name="ZoneTexte 16">
          <a:extLst>
            <a:ext uri="{FF2B5EF4-FFF2-40B4-BE49-F238E27FC236}">
              <a16:creationId xmlns:a16="http://schemas.microsoft.com/office/drawing/2014/main" id="{45F19CB7-C6D3-42A0-AACA-65BCC24B8EA3}"/>
            </a:ext>
          </a:extLst>
        </xdr:cNvPr>
        <xdr:cNvSpPr txBox="1"/>
      </xdr:nvSpPr>
      <xdr:spPr>
        <a:xfrm>
          <a:off x="11557635" y="965130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398</xdr:row>
      <xdr:rowOff>142875</xdr:rowOff>
    </xdr:from>
    <xdr:ext cx="184731" cy="264560"/>
    <xdr:sp macro="" textlink="">
      <xdr:nvSpPr>
        <xdr:cNvPr id="88" name="ZoneTexte 21">
          <a:extLst>
            <a:ext uri="{FF2B5EF4-FFF2-40B4-BE49-F238E27FC236}">
              <a16:creationId xmlns:a16="http://schemas.microsoft.com/office/drawing/2014/main" id="{09A37AE3-8F6F-4819-8BB7-96B4F0C4F43E}"/>
            </a:ext>
          </a:extLst>
        </xdr:cNvPr>
        <xdr:cNvSpPr txBox="1"/>
      </xdr:nvSpPr>
      <xdr:spPr>
        <a:xfrm>
          <a:off x="11557635" y="7470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455</xdr:row>
      <xdr:rowOff>142875</xdr:rowOff>
    </xdr:from>
    <xdr:ext cx="184731" cy="264560"/>
    <xdr:sp macro="" textlink="">
      <xdr:nvSpPr>
        <xdr:cNvPr id="89" name="ZoneTexte 26">
          <a:extLst>
            <a:ext uri="{FF2B5EF4-FFF2-40B4-BE49-F238E27FC236}">
              <a16:creationId xmlns:a16="http://schemas.microsoft.com/office/drawing/2014/main" id="{1C8280E7-6684-4409-8535-C170D425009F}"/>
            </a:ext>
          </a:extLst>
        </xdr:cNvPr>
        <xdr:cNvSpPr txBox="1"/>
      </xdr:nvSpPr>
      <xdr:spPr>
        <a:xfrm>
          <a:off x="11557635" y="85235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455</xdr:row>
      <xdr:rowOff>142875</xdr:rowOff>
    </xdr:from>
    <xdr:ext cx="184731" cy="264560"/>
    <xdr:sp macro="" textlink="">
      <xdr:nvSpPr>
        <xdr:cNvPr id="90" name="ZoneTexte 21">
          <a:extLst>
            <a:ext uri="{FF2B5EF4-FFF2-40B4-BE49-F238E27FC236}">
              <a16:creationId xmlns:a16="http://schemas.microsoft.com/office/drawing/2014/main" id="{E6927D5C-D21D-4DC3-A947-BBA7BB153417}"/>
            </a:ext>
          </a:extLst>
        </xdr:cNvPr>
        <xdr:cNvSpPr txBox="1"/>
      </xdr:nvSpPr>
      <xdr:spPr>
        <a:xfrm>
          <a:off x="11557635" y="85235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513</xdr:row>
      <xdr:rowOff>142875</xdr:rowOff>
    </xdr:from>
    <xdr:ext cx="184731" cy="264560"/>
    <xdr:sp macro="" textlink="">
      <xdr:nvSpPr>
        <xdr:cNvPr id="91" name="ZoneTexte 26">
          <a:extLst>
            <a:ext uri="{FF2B5EF4-FFF2-40B4-BE49-F238E27FC236}">
              <a16:creationId xmlns:a16="http://schemas.microsoft.com/office/drawing/2014/main" id="{C20C04DA-DC0A-480B-A7BF-98DCE4504BC8}"/>
            </a:ext>
          </a:extLst>
        </xdr:cNvPr>
        <xdr:cNvSpPr txBox="1"/>
      </xdr:nvSpPr>
      <xdr:spPr>
        <a:xfrm>
          <a:off x="11557635" y="95949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5</xdr:col>
      <xdr:colOff>1019175</xdr:colOff>
      <xdr:row>513</xdr:row>
      <xdr:rowOff>142875</xdr:rowOff>
    </xdr:from>
    <xdr:ext cx="184731" cy="264560"/>
    <xdr:sp macro="" textlink="">
      <xdr:nvSpPr>
        <xdr:cNvPr id="92" name="ZoneTexte 21">
          <a:extLst>
            <a:ext uri="{FF2B5EF4-FFF2-40B4-BE49-F238E27FC236}">
              <a16:creationId xmlns:a16="http://schemas.microsoft.com/office/drawing/2014/main" id="{6841026F-D945-445D-88F8-ADF024B9501A}"/>
            </a:ext>
          </a:extLst>
        </xdr:cNvPr>
        <xdr:cNvSpPr txBox="1"/>
      </xdr:nvSpPr>
      <xdr:spPr>
        <a:xfrm>
          <a:off x="11557635" y="95949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Q48"/>
  <sheetViews>
    <sheetView tabSelected="1" zoomScale="115" zoomScaleNormal="115" workbookViewId="0">
      <selection activeCell="C2" sqref="C2"/>
    </sheetView>
  </sheetViews>
  <sheetFormatPr defaultColWidth="11.44140625" defaultRowHeight="14.4" outlineLevelCol="1" x14ac:dyDescent="0.3"/>
  <cols>
    <col min="1" max="1" width="29.88671875" customWidth="1"/>
    <col min="2" max="2" width="30.88671875" customWidth="1"/>
    <col min="3" max="5" width="33.5546875" customWidth="1"/>
    <col min="6" max="6" width="20.6640625" customWidth="1"/>
    <col min="7" max="9" width="20.6640625" hidden="1" customWidth="1"/>
    <col min="10" max="10" width="21.88671875" customWidth="1"/>
    <col min="11" max="11" width="49" style="122" hidden="1" customWidth="1" outlineLevel="1"/>
    <col min="12" max="12" width="15.88671875" hidden="1" customWidth="1" outlineLevel="1"/>
    <col min="13" max="13" width="32.33203125" hidden="1" customWidth="1" outlineLevel="1"/>
    <col min="14" max="16" width="8.109375" hidden="1" customWidth="1" outlineLevel="1"/>
    <col min="17" max="17" width="21" customWidth="1" collapsed="1"/>
    <col min="18" max="20" width="21" customWidth="1"/>
  </cols>
  <sheetData>
    <row r="1" spans="1:16" ht="15" thickBot="1" x14ac:dyDescent="0.35">
      <c r="A1" s="1" t="s">
        <v>0</v>
      </c>
      <c r="B1" s="1"/>
      <c r="C1" s="1"/>
      <c r="K1" s="679" t="s">
        <v>296</v>
      </c>
      <c r="L1" s="679"/>
    </row>
    <row r="2" spans="1:16" ht="15" thickBot="1" x14ac:dyDescent="0.35">
      <c r="A2" s="682" t="s">
        <v>1</v>
      </c>
      <c r="B2" s="683"/>
      <c r="C2" s="80"/>
      <c r="D2" s="81" t="s">
        <v>2</v>
      </c>
      <c r="E2" s="82"/>
      <c r="G2" s="680" t="s">
        <v>386</v>
      </c>
      <c r="H2" s="681"/>
      <c r="I2" s="121">
        <v>7.4999999999999997E-3</v>
      </c>
      <c r="K2" s="122" t="s">
        <v>387</v>
      </c>
      <c r="L2" s="117">
        <v>2.8000000000000001E-2</v>
      </c>
    </row>
    <row r="3" spans="1:16" ht="15" thickBot="1" x14ac:dyDescent="0.35">
      <c r="A3" s="684" t="s">
        <v>3</v>
      </c>
      <c r="B3" s="685"/>
      <c r="C3" s="398" t="s">
        <v>420</v>
      </c>
      <c r="D3" s="83"/>
      <c r="E3" s="84"/>
      <c r="G3" s="680" t="s">
        <v>385</v>
      </c>
      <c r="H3" s="681"/>
      <c r="I3" s="121">
        <v>2.8400000000000002E-2</v>
      </c>
      <c r="K3" s="122" t="s">
        <v>388</v>
      </c>
      <c r="L3" s="117">
        <v>0.08</v>
      </c>
    </row>
    <row r="4" spans="1:16" ht="15" thickBot="1" x14ac:dyDescent="0.35">
      <c r="A4" s="686" t="s">
        <v>464</v>
      </c>
      <c r="B4" s="687"/>
      <c r="C4" s="84">
        <v>7</v>
      </c>
      <c r="G4" s="680" t="s">
        <v>291</v>
      </c>
      <c r="H4" s="681"/>
      <c r="I4" s="297">
        <f>IF(OR(I2="",I3=""),0,SUM(I2:I3,L2:L5))</f>
        <v>0.14780000000000001</v>
      </c>
      <c r="K4" s="122" t="s">
        <v>389</v>
      </c>
      <c r="L4" s="126">
        <v>2.5000000000000001E-3</v>
      </c>
    </row>
    <row r="5" spans="1:16" x14ac:dyDescent="0.3">
      <c r="C5" s="253" t="s">
        <v>305</v>
      </c>
      <c r="E5" s="254"/>
      <c r="H5" s="85" t="str">
        <f>IF(C3="","",C3)</f>
        <v>horaire</v>
      </c>
      <c r="K5" s="122" t="s">
        <v>390</v>
      </c>
      <c r="L5" s="126">
        <v>1.4E-3</v>
      </c>
    </row>
    <row r="6" spans="1:16" x14ac:dyDescent="0.3">
      <c r="C6" s="253" t="str">
        <f>IF(C4="8.3*","Lors du recensement du placement familial, le 8.3 peut être combiné avec du 9.1","")</f>
        <v/>
      </c>
    </row>
    <row r="7" spans="1:16" ht="15" thickBot="1" x14ac:dyDescent="0.35">
      <c r="A7" s="1" t="s">
        <v>5</v>
      </c>
      <c r="B7" s="1"/>
      <c r="C7" s="1"/>
    </row>
    <row r="8" spans="1:16" x14ac:dyDescent="0.3">
      <c r="A8" s="89" t="s">
        <v>4</v>
      </c>
      <c r="B8" s="90"/>
      <c r="C8" s="394" t="s">
        <v>6</v>
      </c>
      <c r="D8" s="395"/>
      <c r="E8" s="394" t="s">
        <v>7</v>
      </c>
      <c r="F8" s="396"/>
    </row>
    <row r="9" spans="1:16" x14ac:dyDescent="0.3">
      <c r="A9" s="393"/>
      <c r="B9" s="392"/>
      <c r="C9" s="386"/>
      <c r="D9" s="392"/>
      <c r="E9" s="386"/>
      <c r="F9" s="387"/>
      <c r="L9" t="s">
        <v>392</v>
      </c>
      <c r="M9" t="s">
        <v>393</v>
      </c>
      <c r="N9" t="s">
        <v>394</v>
      </c>
      <c r="O9" t="s">
        <v>395</v>
      </c>
      <c r="P9" t="s">
        <v>396</v>
      </c>
    </row>
    <row r="10" spans="1:16" x14ac:dyDescent="0.3">
      <c r="A10" s="393"/>
      <c r="B10" s="392"/>
      <c r="C10" s="386"/>
      <c r="D10" s="392"/>
      <c r="E10" s="386"/>
      <c r="F10" s="387"/>
      <c r="K10" s="122" t="s">
        <v>391</v>
      </c>
      <c r="L10" s="126">
        <f>L14*0.9</f>
        <v>6.7499999999999999E-3</v>
      </c>
      <c r="M10" s="126">
        <f>1*L14</f>
        <v>7.4999999999999997E-3</v>
      </c>
      <c r="N10" s="126">
        <f>1.1*L14</f>
        <v>8.2500000000000004E-3</v>
      </c>
      <c r="O10" s="126">
        <f>1.3*L14</f>
        <v>9.75E-3</v>
      </c>
      <c r="P10" s="126">
        <f>L14*1.5</f>
        <v>1.125E-2</v>
      </c>
    </row>
    <row r="11" spans="1:16" x14ac:dyDescent="0.3">
      <c r="A11" s="393"/>
      <c r="B11" s="392"/>
      <c r="C11" s="386"/>
      <c r="D11" s="392"/>
      <c r="E11" s="386"/>
      <c r="F11" s="387"/>
      <c r="K11" s="122" t="s">
        <v>397</v>
      </c>
      <c r="L11" s="126">
        <v>7.1999999999999998E-3</v>
      </c>
      <c r="M11" s="126">
        <v>1.2200000000000001E-2</v>
      </c>
      <c r="N11" s="126">
        <v>1.7600000000000001E-2</v>
      </c>
      <c r="O11" s="126">
        <v>2.8400000000000002E-2</v>
      </c>
    </row>
    <row r="12" spans="1:16" ht="15" thickBot="1" x14ac:dyDescent="0.35">
      <c r="A12" s="390"/>
      <c r="B12" s="391"/>
      <c r="C12" s="388"/>
      <c r="D12" s="391"/>
      <c r="E12" s="388"/>
      <c r="F12" s="389"/>
      <c r="L12" s="117"/>
    </row>
    <row r="13" spans="1:16" x14ac:dyDescent="0.3">
      <c r="K13" s="122" t="s">
        <v>292</v>
      </c>
      <c r="L13" s="126">
        <f>SUM(L2:L3,L5,I2)</f>
        <v>0.1169</v>
      </c>
      <c r="M13" s="178" t="s">
        <v>398</v>
      </c>
    </row>
    <row r="14" spans="1:16" x14ac:dyDescent="0.3">
      <c r="K14" s="122" t="s">
        <v>391</v>
      </c>
      <c r="L14" s="126">
        <v>7.4999999999999997E-3</v>
      </c>
    </row>
    <row r="16" spans="1:16" x14ac:dyDescent="0.3">
      <c r="K16" s="122" t="s">
        <v>95</v>
      </c>
      <c r="L16" s="131" t="s">
        <v>96</v>
      </c>
    </row>
    <row r="17" spans="3:12" x14ac:dyDescent="0.3">
      <c r="L17" s="131" t="s">
        <v>277</v>
      </c>
    </row>
    <row r="18" spans="3:12" x14ac:dyDescent="0.3">
      <c r="C18" s="168"/>
      <c r="L18" s="131" t="s">
        <v>278</v>
      </c>
    </row>
    <row r="19" spans="3:12" x14ac:dyDescent="0.3">
      <c r="L19" s="131" t="s">
        <v>279</v>
      </c>
    </row>
    <row r="20" spans="3:12" x14ac:dyDescent="0.3">
      <c r="L20" s="131" t="s">
        <v>280</v>
      </c>
    </row>
    <row r="21" spans="3:12" x14ac:dyDescent="0.3">
      <c r="L21" s="131" t="s">
        <v>97</v>
      </c>
    </row>
    <row r="22" spans="3:12" x14ac:dyDescent="0.3">
      <c r="L22" s="131" t="s">
        <v>98</v>
      </c>
    </row>
    <row r="23" spans="3:12" x14ac:dyDescent="0.3">
      <c r="L23" s="68" t="s">
        <v>319</v>
      </c>
    </row>
    <row r="24" spans="3:12" x14ac:dyDescent="0.3">
      <c r="L24" s="131" t="s">
        <v>99</v>
      </c>
    </row>
    <row r="25" spans="3:12" x14ac:dyDescent="0.3">
      <c r="L25" s="131" t="s">
        <v>100</v>
      </c>
    </row>
    <row r="26" spans="3:12" x14ac:dyDescent="0.3">
      <c r="L26" s="131" t="s">
        <v>62</v>
      </c>
    </row>
    <row r="27" spans="3:12" x14ac:dyDescent="0.3">
      <c r="K27" s="122" t="s">
        <v>420</v>
      </c>
      <c r="L27" s="131" t="s">
        <v>66</v>
      </c>
    </row>
    <row r="28" spans="3:12" x14ac:dyDescent="0.3">
      <c r="K28" s="122" t="s">
        <v>462</v>
      </c>
      <c r="L28" s="131" t="s">
        <v>68</v>
      </c>
    </row>
    <row r="29" spans="3:12" x14ac:dyDescent="0.3">
      <c r="L29" s="131" t="s">
        <v>70</v>
      </c>
    </row>
    <row r="30" spans="3:12" x14ac:dyDescent="0.3">
      <c r="L30" s="131" t="s">
        <v>72</v>
      </c>
    </row>
    <row r="31" spans="3:12" x14ac:dyDescent="0.3">
      <c r="K31" s="122" t="s">
        <v>95</v>
      </c>
      <c r="L31" s="131" t="s">
        <v>74</v>
      </c>
    </row>
    <row r="32" spans="3:12" x14ac:dyDescent="0.3">
      <c r="K32" s="122" t="s">
        <v>282</v>
      </c>
      <c r="L32" s="131" t="s">
        <v>76</v>
      </c>
    </row>
    <row r="33" spans="11:12" x14ac:dyDescent="0.3">
      <c r="K33" s="122" t="s">
        <v>281</v>
      </c>
      <c r="L33" s="131" t="s">
        <v>252</v>
      </c>
    </row>
    <row r="34" spans="11:12" x14ac:dyDescent="0.3">
      <c r="K34" s="122" t="s">
        <v>283</v>
      </c>
      <c r="L34" s="131" t="s">
        <v>253</v>
      </c>
    </row>
    <row r="35" spans="11:12" x14ac:dyDescent="0.3">
      <c r="L35" s="131" t="s">
        <v>80</v>
      </c>
    </row>
    <row r="36" spans="11:12" x14ac:dyDescent="0.3">
      <c r="K36" s="397"/>
      <c r="L36" s="131" t="s">
        <v>82</v>
      </c>
    </row>
    <row r="37" spans="11:12" x14ac:dyDescent="0.3">
      <c r="K37" s="397" t="s">
        <v>752</v>
      </c>
      <c r="L37" s="131" t="s">
        <v>84</v>
      </c>
    </row>
    <row r="38" spans="11:12" x14ac:dyDescent="0.3">
      <c r="K38" s="397" t="s">
        <v>178</v>
      </c>
      <c r="L38" s="131" t="s">
        <v>86</v>
      </c>
    </row>
    <row r="39" spans="11:12" x14ac:dyDescent="0.3">
      <c r="K39" s="397" t="s">
        <v>179</v>
      </c>
      <c r="L39" s="131" t="s">
        <v>88</v>
      </c>
    </row>
    <row r="40" spans="11:12" x14ac:dyDescent="0.3">
      <c r="K40" s="397" t="s">
        <v>180</v>
      </c>
      <c r="L40" s="131" t="s">
        <v>90</v>
      </c>
    </row>
    <row r="41" spans="11:12" x14ac:dyDescent="0.3">
      <c r="K41" s="397" t="s">
        <v>444</v>
      </c>
      <c r="L41" s="131" t="s">
        <v>92</v>
      </c>
    </row>
    <row r="42" spans="11:12" x14ac:dyDescent="0.3">
      <c r="K42" s="397"/>
    </row>
    <row r="43" spans="11:12" x14ac:dyDescent="0.3">
      <c r="K43" s="397">
        <v>7</v>
      </c>
      <c r="L43" s="131" t="s">
        <v>79</v>
      </c>
    </row>
    <row r="44" spans="11:12" x14ac:dyDescent="0.3">
      <c r="K44" s="397" t="s">
        <v>17</v>
      </c>
      <c r="L44" s="131" t="s">
        <v>65</v>
      </c>
    </row>
    <row r="45" spans="11:12" x14ac:dyDescent="0.3">
      <c r="K45" s="397" t="s">
        <v>19</v>
      </c>
      <c r="L45" s="131" t="s">
        <v>64</v>
      </c>
    </row>
    <row r="46" spans="11:12" x14ac:dyDescent="0.3">
      <c r="K46" s="397" t="s">
        <v>21</v>
      </c>
      <c r="L46" s="68" t="s">
        <v>61</v>
      </c>
    </row>
    <row r="47" spans="11:12" x14ac:dyDescent="0.3">
      <c r="K47" s="397" t="s">
        <v>23</v>
      </c>
    </row>
    <row r="48" spans="11:12" x14ac:dyDescent="0.3">
      <c r="K48" s="397">
        <v>11</v>
      </c>
    </row>
  </sheetData>
  <sheetProtection algorithmName="SHA-512" hashValue="M6FgrYKJewyU/SMDR81kFKw26tIxrHqk6AY+OV+qSbJWd0Fdrwn6oD3d0+tI+8snYKsu7xUb64cGDLvQ5dgaGg==" saltValue="w7ZX6j5rY7Moa99fmqynGQ==" spinCount="100000" sheet="1" objects="1" scenarios="1"/>
  <mergeCells count="7">
    <mergeCell ref="K1:L1"/>
    <mergeCell ref="G4:H4"/>
    <mergeCell ref="A2:B2"/>
    <mergeCell ref="A3:B3"/>
    <mergeCell ref="G2:H2"/>
    <mergeCell ref="G3:H3"/>
    <mergeCell ref="A4:B4"/>
  </mergeCells>
  <dataValidations count="4">
    <dataValidation type="list" allowBlank="1" showInputMessage="1" showErrorMessage="1" sqref="C3" xr:uid="{00000000-0002-0000-0100-000000000000}">
      <formula1>K$27:K$28</formula1>
    </dataValidation>
    <dataValidation type="list" allowBlank="1" showInputMessage="1" showErrorMessage="1" sqref="I2" xr:uid="{00000000-0002-0000-0100-000001000000}">
      <formula1>$L$10:$P$10</formula1>
    </dataValidation>
    <dataValidation type="list" allowBlank="1" showInputMessage="1" showErrorMessage="1" sqref="I3" xr:uid="{00000000-0002-0000-0100-000002000000}">
      <formula1>$L$11:$O$11</formula1>
    </dataValidation>
    <dataValidation type="list" allowBlank="1" showInputMessage="1" showErrorMessage="1" sqref="C4" xr:uid="{00000000-0002-0000-0100-000003000000}">
      <formula1>IF($C$3="HORAIRE",$K$43:$K$48,$K$36:$K$41)</formula1>
    </dataValidation>
  </dataValidations>
  <printOptions horizontalCentered="1"/>
  <pageMargins left="0.31496062992125984" right="0.31496062992125984" top="0.35433070866141736" bottom="0.35433070866141736"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AMJ308"/>
  <sheetViews>
    <sheetView workbookViewId="0">
      <selection activeCell="I116" sqref="I116"/>
    </sheetView>
  </sheetViews>
  <sheetFormatPr defaultColWidth="12.5546875" defaultRowHeight="14.4" x14ac:dyDescent="0.3"/>
  <cols>
    <col min="1" max="1" width="2" style="217" customWidth="1"/>
    <col min="2" max="2" width="11.33203125" style="217" customWidth="1"/>
    <col min="3" max="3" width="12" style="217" customWidth="1"/>
    <col min="4" max="4" width="6.33203125" style="217" customWidth="1"/>
    <col min="5" max="5" width="8.44140625" style="217" customWidth="1"/>
    <col min="6" max="6" width="8.109375" style="217" customWidth="1"/>
    <col min="7" max="7" width="2" style="217" customWidth="1"/>
    <col min="8" max="8" width="11.33203125" style="217" customWidth="1"/>
    <col min="9" max="9" width="12" style="217" customWidth="1"/>
    <col min="10" max="10" width="6.33203125" style="217" customWidth="1"/>
    <col min="11" max="11" width="8.44140625" style="217" customWidth="1"/>
    <col min="12" max="12" width="8.109375" style="217" customWidth="1"/>
    <col min="13" max="13" width="2" style="217" customWidth="1"/>
    <col min="14" max="14" width="11.33203125" style="217" customWidth="1"/>
    <col min="15" max="15" width="12" style="217" customWidth="1"/>
    <col min="16" max="16" width="6.33203125" style="217" customWidth="1"/>
    <col min="17" max="17" width="8.44140625" style="217" customWidth="1"/>
    <col min="18" max="18" width="8.109375" style="217" customWidth="1"/>
    <col min="19" max="20" width="2.44140625" style="217" customWidth="1"/>
    <col min="21" max="23" width="12.33203125" style="217" hidden="1" customWidth="1"/>
    <col min="24" max="1024" width="12.33203125" style="217" customWidth="1"/>
    <col min="1025" max="16384" width="12.5546875" style="231"/>
  </cols>
  <sheetData>
    <row r="1" spans="2:23" ht="21" x14ac:dyDescent="0.4">
      <c r="B1" s="232" t="s">
        <v>342</v>
      </c>
      <c r="H1" s="217" t="s">
        <v>343</v>
      </c>
    </row>
    <row r="2" spans="2:23" ht="26.4" customHeight="1" x14ac:dyDescent="0.5">
      <c r="B2" s="233" t="s">
        <v>344</v>
      </c>
      <c r="C2" s="960"/>
      <c r="D2" s="960"/>
      <c r="E2" s="960"/>
      <c r="F2" s="960"/>
      <c r="G2" s="960"/>
      <c r="H2" s="960"/>
      <c r="I2" s="960"/>
      <c r="J2" s="960"/>
      <c r="K2" s="215"/>
      <c r="L2" s="215"/>
      <c r="M2" s="215"/>
      <c r="N2" s="234" t="s">
        <v>345</v>
      </c>
      <c r="O2" s="235">
        <f>870-COUNTBLANK(U4:W293)</f>
        <v>0</v>
      </c>
      <c r="P2" s="236" t="s">
        <v>56</v>
      </c>
      <c r="Q2" s="961">
        <f>F19+L19+R19+F36+L36+R36+F53+L53+R53++F70+L70+R70+F87+L87+R87+F104+L104+R104+F121+L121+R121+F138+L138+R138+F155+L155+R155+F172+L172+R172+F189+L189+R189+F206+L206+R206+F223+L223+R223+F240+L240+R240+F257+L257+R257+F274+L274+R274+F291+L291+R291+F308+L308+R308</f>
        <v>0</v>
      </c>
      <c r="R2" s="961"/>
    </row>
    <row r="3" spans="2:23" ht="8.25" customHeight="1" x14ac:dyDescent="0.5">
      <c r="B3" s="237"/>
      <c r="H3" s="237"/>
      <c r="N3" s="237"/>
    </row>
    <row r="4" spans="2:23" ht="14.4" customHeight="1" x14ac:dyDescent="0.3">
      <c r="B4" s="238" t="s">
        <v>346</v>
      </c>
      <c r="C4" s="959"/>
      <c r="D4" s="959"/>
      <c r="E4" s="959"/>
      <c r="F4" s="959"/>
      <c r="H4" s="238" t="s">
        <v>346</v>
      </c>
      <c r="I4" s="959"/>
      <c r="J4" s="959"/>
      <c r="K4" s="959"/>
      <c r="L4" s="959"/>
      <c r="N4" s="238" t="s">
        <v>346</v>
      </c>
      <c r="O4" s="959"/>
      <c r="P4" s="959"/>
      <c r="Q4" s="959"/>
      <c r="R4" s="959"/>
      <c r="U4" s="225" t="str">
        <f>IF(C4&gt;"",C4,"")</f>
        <v/>
      </c>
      <c r="V4" s="225" t="str">
        <f>IF(I4&gt;"",I4,"")</f>
        <v/>
      </c>
      <c r="W4" s="225" t="str">
        <f>IF(O4&gt;"",O4,"")</f>
        <v/>
      </c>
    </row>
    <row r="5" spans="2:23" ht="4.5" customHeight="1" x14ac:dyDescent="0.3"/>
    <row r="6" spans="2:23" x14ac:dyDescent="0.3">
      <c r="B6" s="219" t="s">
        <v>339</v>
      </c>
      <c r="C6" s="219" t="s">
        <v>340</v>
      </c>
      <c r="D6" s="220"/>
      <c r="E6" s="221" t="s">
        <v>341</v>
      </c>
      <c r="F6" s="220"/>
      <c r="H6" s="219" t="s">
        <v>339</v>
      </c>
      <c r="I6" s="219" t="s">
        <v>340</v>
      </c>
      <c r="J6" s="220"/>
      <c r="K6" s="221" t="s">
        <v>341</v>
      </c>
      <c r="L6" s="220"/>
      <c r="N6" s="219" t="s">
        <v>339</v>
      </c>
      <c r="O6" s="219" t="s">
        <v>340</v>
      </c>
      <c r="P6" s="220"/>
      <c r="Q6" s="221" t="s">
        <v>341</v>
      </c>
      <c r="R6" s="220"/>
    </row>
    <row r="7" spans="2:23" x14ac:dyDescent="0.3">
      <c r="B7" s="239"/>
      <c r="C7" s="239"/>
      <c r="D7" s="223">
        <f t="shared" ref="D7:D15" si="0">IF(C7="",0,C7-B7+1)</f>
        <v>0</v>
      </c>
      <c r="E7" s="224"/>
      <c r="F7" s="225">
        <f t="shared" ref="F7:F15" si="1">+D7*E7</f>
        <v>0</v>
      </c>
      <c r="H7" s="239"/>
      <c r="I7" s="239"/>
      <c r="J7" s="223">
        <f t="shared" ref="J7:J15" si="2">IF(I7="",0,I7-H7+1)</f>
        <v>0</v>
      </c>
      <c r="K7" s="224"/>
      <c r="L7" s="225">
        <f t="shared" ref="L7:L15" si="3">+J7*K7</f>
        <v>0</v>
      </c>
      <c r="N7" s="239"/>
      <c r="O7" s="239"/>
      <c r="P7" s="223">
        <f t="shared" ref="P7:P15" si="4">IF(O7="",0,O7-N7+1)</f>
        <v>0</v>
      </c>
      <c r="Q7" s="224"/>
      <c r="R7" s="225">
        <f t="shared" ref="R7:R15" si="5">+P7*Q7</f>
        <v>0</v>
      </c>
    </row>
    <row r="8" spans="2:23" x14ac:dyDescent="0.3">
      <c r="B8" s="239"/>
      <c r="C8" s="239"/>
      <c r="D8" s="223">
        <f t="shared" si="0"/>
        <v>0</v>
      </c>
      <c r="E8" s="224"/>
      <c r="F8" s="225">
        <f t="shared" si="1"/>
        <v>0</v>
      </c>
      <c r="H8" s="239"/>
      <c r="I8" s="239"/>
      <c r="J8" s="223">
        <f t="shared" si="2"/>
        <v>0</v>
      </c>
      <c r="K8" s="224"/>
      <c r="L8" s="225">
        <f t="shared" si="3"/>
        <v>0</v>
      </c>
      <c r="N8" s="239"/>
      <c r="O8" s="239"/>
      <c r="P8" s="223">
        <f t="shared" si="4"/>
        <v>0</v>
      </c>
      <c r="Q8" s="224"/>
      <c r="R8" s="225">
        <f t="shared" si="5"/>
        <v>0</v>
      </c>
    </row>
    <row r="9" spans="2:23" x14ac:dyDescent="0.3">
      <c r="B9" s="239"/>
      <c r="C9" s="239"/>
      <c r="D9" s="223">
        <f t="shared" si="0"/>
        <v>0</v>
      </c>
      <c r="E9" s="224"/>
      <c r="F9" s="225">
        <f t="shared" si="1"/>
        <v>0</v>
      </c>
      <c r="H9" s="239"/>
      <c r="I9" s="239"/>
      <c r="J9" s="223">
        <f t="shared" si="2"/>
        <v>0</v>
      </c>
      <c r="K9" s="224"/>
      <c r="L9" s="225">
        <f t="shared" si="3"/>
        <v>0</v>
      </c>
      <c r="N9" s="239"/>
      <c r="O9" s="239"/>
      <c r="P9" s="223">
        <f t="shared" si="4"/>
        <v>0</v>
      </c>
      <c r="Q9" s="224"/>
      <c r="R9" s="225">
        <f t="shared" si="5"/>
        <v>0</v>
      </c>
    </row>
    <row r="10" spans="2:23" x14ac:dyDescent="0.3">
      <c r="B10" s="239"/>
      <c r="C10" s="239"/>
      <c r="D10" s="223">
        <f t="shared" si="0"/>
        <v>0</v>
      </c>
      <c r="E10" s="224"/>
      <c r="F10" s="225">
        <f t="shared" si="1"/>
        <v>0</v>
      </c>
      <c r="H10" s="239"/>
      <c r="I10" s="239"/>
      <c r="J10" s="223">
        <f t="shared" si="2"/>
        <v>0</v>
      </c>
      <c r="K10" s="224"/>
      <c r="L10" s="225">
        <f t="shared" si="3"/>
        <v>0</v>
      </c>
      <c r="N10" s="239"/>
      <c r="O10" s="239"/>
      <c r="P10" s="223">
        <f t="shared" si="4"/>
        <v>0</v>
      </c>
      <c r="Q10" s="224"/>
      <c r="R10" s="225">
        <f t="shared" si="5"/>
        <v>0</v>
      </c>
    </row>
    <row r="11" spans="2:23" x14ac:dyDescent="0.3">
      <c r="B11" s="239"/>
      <c r="C11" s="239"/>
      <c r="D11" s="223">
        <f t="shared" si="0"/>
        <v>0</v>
      </c>
      <c r="E11" s="224"/>
      <c r="F11" s="225">
        <f t="shared" si="1"/>
        <v>0</v>
      </c>
      <c r="H11" s="239"/>
      <c r="I11" s="239"/>
      <c r="J11" s="223">
        <f t="shared" si="2"/>
        <v>0</v>
      </c>
      <c r="K11" s="224"/>
      <c r="L11" s="225">
        <f t="shared" si="3"/>
        <v>0</v>
      </c>
      <c r="N11" s="239"/>
      <c r="O11" s="239"/>
      <c r="P11" s="223">
        <f t="shared" si="4"/>
        <v>0</v>
      </c>
      <c r="Q11" s="224"/>
      <c r="R11" s="225">
        <f t="shared" si="5"/>
        <v>0</v>
      </c>
    </row>
    <row r="12" spans="2:23" x14ac:dyDescent="0.3">
      <c r="B12" s="239"/>
      <c r="C12" s="239"/>
      <c r="D12" s="223">
        <f t="shared" si="0"/>
        <v>0</v>
      </c>
      <c r="E12" s="224"/>
      <c r="F12" s="225">
        <f t="shared" si="1"/>
        <v>0</v>
      </c>
      <c r="H12" s="239"/>
      <c r="I12" s="239"/>
      <c r="J12" s="223">
        <f t="shared" si="2"/>
        <v>0</v>
      </c>
      <c r="K12" s="224"/>
      <c r="L12" s="225">
        <f t="shared" si="3"/>
        <v>0</v>
      </c>
      <c r="N12" s="239"/>
      <c r="O12" s="239"/>
      <c r="P12" s="223">
        <f t="shared" si="4"/>
        <v>0</v>
      </c>
      <c r="Q12" s="224"/>
      <c r="R12" s="225">
        <f t="shared" si="5"/>
        <v>0</v>
      </c>
    </row>
    <row r="13" spans="2:23" x14ac:dyDescent="0.3">
      <c r="B13" s="240"/>
      <c r="C13" s="240"/>
      <c r="D13" s="223">
        <f t="shared" si="0"/>
        <v>0</v>
      </c>
      <c r="E13" s="224"/>
      <c r="F13" s="225">
        <f t="shared" si="1"/>
        <v>0</v>
      </c>
      <c r="H13" s="240"/>
      <c r="I13" s="240"/>
      <c r="J13" s="223">
        <f t="shared" si="2"/>
        <v>0</v>
      </c>
      <c r="K13" s="224"/>
      <c r="L13" s="225">
        <f t="shared" si="3"/>
        <v>0</v>
      </c>
      <c r="N13" s="240"/>
      <c r="O13" s="240"/>
      <c r="P13" s="223">
        <f t="shared" si="4"/>
        <v>0</v>
      </c>
      <c r="Q13" s="224"/>
      <c r="R13" s="225">
        <f t="shared" si="5"/>
        <v>0</v>
      </c>
    </row>
    <row r="14" spans="2:23" x14ac:dyDescent="0.3">
      <c r="B14" s="240"/>
      <c r="C14" s="240"/>
      <c r="D14" s="223">
        <f t="shared" si="0"/>
        <v>0</v>
      </c>
      <c r="E14" s="224"/>
      <c r="F14" s="225">
        <f t="shared" si="1"/>
        <v>0</v>
      </c>
      <c r="H14" s="240"/>
      <c r="I14" s="240"/>
      <c r="J14" s="223">
        <f t="shared" si="2"/>
        <v>0</v>
      </c>
      <c r="K14" s="224"/>
      <c r="L14" s="225">
        <f t="shared" si="3"/>
        <v>0</v>
      </c>
      <c r="N14" s="240"/>
      <c r="O14" s="240"/>
      <c r="P14" s="223">
        <f t="shared" si="4"/>
        <v>0</v>
      </c>
      <c r="Q14" s="224"/>
      <c r="R14" s="225">
        <f t="shared" si="5"/>
        <v>0</v>
      </c>
    </row>
    <row r="15" spans="2:23" x14ac:dyDescent="0.3">
      <c r="B15" s="240"/>
      <c r="C15" s="240"/>
      <c r="D15" s="223">
        <f t="shared" si="0"/>
        <v>0</v>
      </c>
      <c r="E15" s="224"/>
      <c r="F15" s="225">
        <f t="shared" si="1"/>
        <v>0</v>
      </c>
      <c r="H15" s="240"/>
      <c r="I15" s="240"/>
      <c r="J15" s="223">
        <f t="shared" si="2"/>
        <v>0</v>
      </c>
      <c r="K15" s="224"/>
      <c r="L15" s="225">
        <f t="shared" si="3"/>
        <v>0</v>
      </c>
      <c r="N15" s="240"/>
      <c r="O15" s="240"/>
      <c r="P15" s="223">
        <f t="shared" si="4"/>
        <v>0</v>
      </c>
      <c r="Q15" s="224"/>
      <c r="R15" s="225">
        <f t="shared" si="5"/>
        <v>0</v>
      </c>
    </row>
    <row r="16" spans="2:23" ht="4.5" customHeight="1" x14ac:dyDescent="0.3"/>
    <row r="17" spans="2:23" x14ac:dyDescent="0.3">
      <c r="C17" s="227" t="s">
        <v>57</v>
      </c>
      <c r="D17" s="241">
        <f>SUM(D7:D15)</f>
        <v>0</v>
      </c>
      <c r="F17" s="228">
        <f>SUM(F7:F15)</f>
        <v>0</v>
      </c>
      <c r="I17" s="227" t="s">
        <v>57</v>
      </c>
      <c r="J17" s="241">
        <f>SUM(J7:J15)</f>
        <v>0</v>
      </c>
      <c r="L17" s="228">
        <f>SUM(L7:L15)</f>
        <v>0</v>
      </c>
      <c r="O17" s="227" t="s">
        <v>57</v>
      </c>
      <c r="P17" s="241">
        <f>SUM(P7:P15)</f>
        <v>0</v>
      </c>
      <c r="R17" s="228">
        <f>SUM(R7:R15)</f>
        <v>0</v>
      </c>
    </row>
    <row r="18" spans="2:23" ht="3.75" customHeight="1" x14ac:dyDescent="0.3"/>
    <row r="19" spans="2:23" x14ac:dyDescent="0.3">
      <c r="E19" s="229" t="s">
        <v>56</v>
      </c>
      <c r="F19" s="230">
        <f>IF(D17=0,0,F17/D17)</f>
        <v>0</v>
      </c>
      <c r="K19" s="229" t="s">
        <v>56</v>
      </c>
      <c r="L19" s="230">
        <f>IF(J17=0,0,L17/J17)</f>
        <v>0</v>
      </c>
      <c r="Q19" s="229" t="s">
        <v>56</v>
      </c>
      <c r="R19" s="230">
        <f>IF(P17=0,0,R17/P17)</f>
        <v>0</v>
      </c>
    </row>
    <row r="20" spans="2:23" ht="15" customHeight="1" x14ac:dyDescent="0.3"/>
    <row r="21" spans="2:23" x14ac:dyDescent="0.3">
      <c r="B21" s="238" t="s">
        <v>346</v>
      </c>
      <c r="C21" s="959"/>
      <c r="D21" s="959"/>
      <c r="E21" s="959"/>
      <c r="F21" s="959"/>
      <c r="H21" s="238" t="s">
        <v>346</v>
      </c>
      <c r="I21" s="959"/>
      <c r="J21" s="959"/>
      <c r="K21" s="959"/>
      <c r="L21" s="959"/>
      <c r="N21" s="238" t="s">
        <v>346</v>
      </c>
      <c r="O21" s="959"/>
      <c r="P21" s="959"/>
      <c r="Q21" s="959"/>
      <c r="R21" s="959"/>
      <c r="U21" s="225" t="str">
        <f>IF(C21&gt;"",C21,"")</f>
        <v/>
      </c>
      <c r="V21" s="225" t="str">
        <f>IF(I21&gt;"",I21,"")</f>
        <v/>
      </c>
      <c r="W21" s="225" t="str">
        <f>IF(O21&gt;"",O21,"")</f>
        <v/>
      </c>
    </row>
    <row r="22" spans="2:23" ht="4.5" customHeight="1" x14ac:dyDescent="0.3"/>
    <row r="23" spans="2:23" x14ac:dyDescent="0.3">
      <c r="B23" s="219" t="s">
        <v>339</v>
      </c>
      <c r="C23" s="219" t="s">
        <v>340</v>
      </c>
      <c r="D23" s="220"/>
      <c r="E23" s="221" t="s">
        <v>341</v>
      </c>
      <c r="F23" s="220"/>
      <c r="H23" s="219" t="s">
        <v>339</v>
      </c>
      <c r="I23" s="219" t="s">
        <v>340</v>
      </c>
      <c r="J23" s="220"/>
      <c r="K23" s="221" t="s">
        <v>341</v>
      </c>
      <c r="L23" s="220"/>
      <c r="N23" s="219" t="s">
        <v>339</v>
      </c>
      <c r="O23" s="219" t="s">
        <v>340</v>
      </c>
      <c r="P23" s="220"/>
      <c r="Q23" s="221" t="s">
        <v>341</v>
      </c>
      <c r="R23" s="220"/>
    </row>
    <row r="24" spans="2:23" x14ac:dyDescent="0.3">
      <c r="B24" s="239"/>
      <c r="C24" s="239"/>
      <c r="D24" s="223">
        <f t="shared" ref="D24:D32" si="6">IF(C24="",0,C24-B24+1)</f>
        <v>0</v>
      </c>
      <c r="E24" s="242"/>
      <c r="F24" s="225">
        <f t="shared" ref="F24:F32" si="7">+D24*E24</f>
        <v>0</v>
      </c>
      <c r="H24" s="239"/>
      <c r="I24" s="239"/>
      <c r="J24" s="223">
        <f t="shared" ref="J24:J32" si="8">IF(I24="",0,I24-H24+1)</f>
        <v>0</v>
      </c>
      <c r="K24" s="224"/>
      <c r="L24" s="225">
        <f t="shared" ref="L24:L32" si="9">+J24*K24</f>
        <v>0</v>
      </c>
      <c r="N24" s="239"/>
      <c r="O24" s="239"/>
      <c r="P24" s="223">
        <f t="shared" ref="P24:P32" si="10">IF(O24="",0,O24-N24+1)</f>
        <v>0</v>
      </c>
      <c r="Q24" s="224"/>
      <c r="R24" s="225">
        <f t="shared" ref="R24:R32" si="11">+P24*Q24</f>
        <v>0</v>
      </c>
    </row>
    <row r="25" spans="2:23" x14ac:dyDescent="0.3">
      <c r="B25" s="239"/>
      <c r="C25" s="239"/>
      <c r="D25" s="223">
        <f t="shared" si="6"/>
        <v>0</v>
      </c>
      <c r="E25" s="224"/>
      <c r="F25" s="225">
        <f t="shared" si="7"/>
        <v>0</v>
      </c>
      <c r="H25" s="239"/>
      <c r="I25" s="239"/>
      <c r="J25" s="223">
        <f t="shared" si="8"/>
        <v>0</v>
      </c>
      <c r="K25" s="224"/>
      <c r="L25" s="225">
        <f t="shared" si="9"/>
        <v>0</v>
      </c>
      <c r="N25" s="239"/>
      <c r="O25" s="239"/>
      <c r="P25" s="223">
        <f t="shared" si="10"/>
        <v>0</v>
      </c>
      <c r="Q25" s="224"/>
      <c r="R25" s="225">
        <f t="shared" si="11"/>
        <v>0</v>
      </c>
    </row>
    <row r="26" spans="2:23" x14ac:dyDescent="0.3">
      <c r="B26" s="239"/>
      <c r="C26" s="239"/>
      <c r="D26" s="223">
        <f t="shared" si="6"/>
        <v>0</v>
      </c>
      <c r="E26" s="224"/>
      <c r="F26" s="225">
        <f t="shared" si="7"/>
        <v>0</v>
      </c>
      <c r="H26" s="239"/>
      <c r="I26" s="239"/>
      <c r="J26" s="223">
        <f t="shared" si="8"/>
        <v>0</v>
      </c>
      <c r="K26" s="224"/>
      <c r="L26" s="225">
        <f t="shared" si="9"/>
        <v>0</v>
      </c>
      <c r="N26" s="239"/>
      <c r="O26" s="239"/>
      <c r="P26" s="223">
        <f t="shared" si="10"/>
        <v>0</v>
      </c>
      <c r="Q26" s="224"/>
      <c r="R26" s="225">
        <f t="shared" si="11"/>
        <v>0</v>
      </c>
    </row>
    <row r="27" spans="2:23" x14ac:dyDescent="0.3">
      <c r="B27" s="239"/>
      <c r="C27" s="239"/>
      <c r="D27" s="223">
        <f t="shared" si="6"/>
        <v>0</v>
      </c>
      <c r="E27" s="224"/>
      <c r="F27" s="225">
        <f t="shared" si="7"/>
        <v>0</v>
      </c>
      <c r="H27" s="239"/>
      <c r="I27" s="239"/>
      <c r="J27" s="223">
        <f t="shared" si="8"/>
        <v>0</v>
      </c>
      <c r="K27" s="224"/>
      <c r="L27" s="225">
        <f t="shared" si="9"/>
        <v>0</v>
      </c>
      <c r="N27" s="239"/>
      <c r="O27" s="239"/>
      <c r="P27" s="223">
        <f t="shared" si="10"/>
        <v>0</v>
      </c>
      <c r="Q27" s="224"/>
      <c r="R27" s="225">
        <f t="shared" si="11"/>
        <v>0</v>
      </c>
    </row>
    <row r="28" spans="2:23" x14ac:dyDescent="0.3">
      <c r="B28" s="239"/>
      <c r="C28" s="239"/>
      <c r="D28" s="223">
        <f t="shared" si="6"/>
        <v>0</v>
      </c>
      <c r="E28" s="224"/>
      <c r="F28" s="225">
        <f t="shared" si="7"/>
        <v>0</v>
      </c>
      <c r="H28" s="239"/>
      <c r="I28" s="239"/>
      <c r="J28" s="223">
        <f t="shared" si="8"/>
        <v>0</v>
      </c>
      <c r="K28" s="224"/>
      <c r="L28" s="225">
        <f t="shared" si="9"/>
        <v>0</v>
      </c>
      <c r="N28" s="239"/>
      <c r="O28" s="239"/>
      <c r="P28" s="223">
        <f t="shared" si="10"/>
        <v>0</v>
      </c>
      <c r="Q28" s="224"/>
      <c r="R28" s="225">
        <f t="shared" si="11"/>
        <v>0</v>
      </c>
    </row>
    <row r="29" spans="2:23" x14ac:dyDescent="0.3">
      <c r="B29" s="239"/>
      <c r="C29" s="239"/>
      <c r="D29" s="223">
        <f t="shared" si="6"/>
        <v>0</v>
      </c>
      <c r="E29" s="224"/>
      <c r="F29" s="225">
        <f t="shared" si="7"/>
        <v>0</v>
      </c>
      <c r="H29" s="239"/>
      <c r="I29" s="239"/>
      <c r="J29" s="223">
        <f t="shared" si="8"/>
        <v>0</v>
      </c>
      <c r="K29" s="224"/>
      <c r="L29" s="225">
        <f t="shared" si="9"/>
        <v>0</v>
      </c>
      <c r="N29" s="239"/>
      <c r="O29" s="239"/>
      <c r="P29" s="223">
        <f t="shared" si="10"/>
        <v>0</v>
      </c>
      <c r="Q29" s="224"/>
      <c r="R29" s="225">
        <f t="shared" si="11"/>
        <v>0</v>
      </c>
    </row>
    <row r="30" spans="2:23" x14ac:dyDescent="0.3">
      <c r="B30" s="240"/>
      <c r="C30" s="240"/>
      <c r="D30" s="223">
        <f t="shared" si="6"/>
        <v>0</v>
      </c>
      <c r="E30" s="224"/>
      <c r="F30" s="225">
        <f t="shared" si="7"/>
        <v>0</v>
      </c>
      <c r="H30" s="240"/>
      <c r="I30" s="240"/>
      <c r="J30" s="223">
        <f t="shared" si="8"/>
        <v>0</v>
      </c>
      <c r="K30" s="224"/>
      <c r="L30" s="225">
        <f t="shared" si="9"/>
        <v>0</v>
      </c>
      <c r="N30" s="240"/>
      <c r="O30" s="240"/>
      <c r="P30" s="223">
        <f t="shared" si="10"/>
        <v>0</v>
      </c>
      <c r="Q30" s="224"/>
      <c r="R30" s="225">
        <f t="shared" si="11"/>
        <v>0</v>
      </c>
    </row>
    <row r="31" spans="2:23" x14ac:dyDescent="0.3">
      <c r="B31" s="240"/>
      <c r="C31" s="240"/>
      <c r="D31" s="223">
        <f t="shared" si="6"/>
        <v>0</v>
      </c>
      <c r="E31" s="224"/>
      <c r="F31" s="225">
        <f t="shared" si="7"/>
        <v>0</v>
      </c>
      <c r="H31" s="240"/>
      <c r="I31" s="240"/>
      <c r="J31" s="223">
        <f t="shared" si="8"/>
        <v>0</v>
      </c>
      <c r="K31" s="224"/>
      <c r="L31" s="225">
        <f t="shared" si="9"/>
        <v>0</v>
      </c>
      <c r="N31" s="240"/>
      <c r="O31" s="240"/>
      <c r="P31" s="223">
        <f t="shared" si="10"/>
        <v>0</v>
      </c>
      <c r="Q31" s="224"/>
      <c r="R31" s="225">
        <f t="shared" si="11"/>
        <v>0</v>
      </c>
    </row>
    <row r="32" spans="2:23" x14ac:dyDescent="0.3">
      <c r="B32" s="240"/>
      <c r="C32" s="240"/>
      <c r="D32" s="223">
        <f t="shared" si="6"/>
        <v>0</v>
      </c>
      <c r="E32" s="224"/>
      <c r="F32" s="225">
        <f t="shared" si="7"/>
        <v>0</v>
      </c>
      <c r="H32" s="240"/>
      <c r="I32" s="240"/>
      <c r="J32" s="223">
        <f t="shared" si="8"/>
        <v>0</v>
      </c>
      <c r="K32" s="224"/>
      <c r="L32" s="225">
        <f t="shared" si="9"/>
        <v>0</v>
      </c>
      <c r="N32" s="240"/>
      <c r="O32" s="240"/>
      <c r="P32" s="223">
        <f t="shared" si="10"/>
        <v>0</v>
      </c>
      <c r="Q32" s="224"/>
      <c r="R32" s="225">
        <f t="shared" si="11"/>
        <v>0</v>
      </c>
    </row>
    <row r="33" spans="2:23" ht="4.5" customHeight="1" x14ac:dyDescent="0.3"/>
    <row r="34" spans="2:23" x14ac:dyDescent="0.3">
      <c r="C34" s="227" t="s">
        <v>57</v>
      </c>
      <c r="D34" s="241">
        <f>SUM(D24:D32)</f>
        <v>0</v>
      </c>
      <c r="F34" s="228">
        <f>SUM(F24:F32)</f>
        <v>0</v>
      </c>
      <c r="I34" s="227" t="s">
        <v>57</v>
      </c>
      <c r="J34" s="241">
        <f>SUM(J24:J32)</f>
        <v>0</v>
      </c>
      <c r="L34" s="228">
        <f>SUM(L24:L32)</f>
        <v>0</v>
      </c>
      <c r="O34" s="227" t="s">
        <v>57</v>
      </c>
      <c r="P34" s="241">
        <f>SUM(P24:P32)</f>
        <v>0</v>
      </c>
      <c r="R34" s="228">
        <f>SUM(R24:R32)</f>
        <v>0</v>
      </c>
    </row>
    <row r="35" spans="2:23" ht="3.75" customHeight="1" x14ac:dyDescent="0.3"/>
    <row r="36" spans="2:23" x14ac:dyDescent="0.3">
      <c r="E36" s="229" t="s">
        <v>56</v>
      </c>
      <c r="F36" s="230">
        <f>IF(D34=0,0,F34/D34)</f>
        <v>0</v>
      </c>
      <c r="K36" s="229" t="s">
        <v>56</v>
      </c>
      <c r="L36" s="230">
        <f>IF(J34=0,0,L34/J34)</f>
        <v>0</v>
      </c>
      <c r="Q36" s="229" t="s">
        <v>56</v>
      </c>
      <c r="R36" s="230">
        <f>IF(P34=0,0,R34/P34)</f>
        <v>0</v>
      </c>
    </row>
    <row r="38" spans="2:23" x14ac:dyDescent="0.3">
      <c r="B38" s="238" t="s">
        <v>346</v>
      </c>
      <c r="C38" s="959"/>
      <c r="D38" s="959"/>
      <c r="E38" s="959"/>
      <c r="F38" s="959"/>
      <c r="H38" s="238" t="s">
        <v>346</v>
      </c>
      <c r="I38" s="959"/>
      <c r="J38" s="959"/>
      <c r="K38" s="959"/>
      <c r="L38" s="959"/>
      <c r="N38" s="238" t="s">
        <v>346</v>
      </c>
      <c r="O38" s="959"/>
      <c r="P38" s="959"/>
      <c r="Q38" s="959"/>
      <c r="R38" s="959"/>
      <c r="U38" s="225" t="str">
        <f>IF(C38&gt;"",C38,"")</f>
        <v/>
      </c>
      <c r="V38" s="225" t="str">
        <f>IF(I38&gt;"",I38,"")</f>
        <v/>
      </c>
      <c r="W38" s="225" t="str">
        <f>IF(O38&gt;"",O38,"")</f>
        <v/>
      </c>
    </row>
    <row r="39" spans="2:23" ht="4.5" customHeight="1" x14ac:dyDescent="0.3"/>
    <row r="40" spans="2:23" x14ac:dyDescent="0.3">
      <c r="B40" s="219" t="s">
        <v>339</v>
      </c>
      <c r="C40" s="219" t="s">
        <v>340</v>
      </c>
      <c r="D40" s="220"/>
      <c r="E40" s="221" t="s">
        <v>341</v>
      </c>
      <c r="F40" s="220"/>
      <c r="H40" s="219" t="s">
        <v>339</v>
      </c>
      <c r="I40" s="219" t="s">
        <v>340</v>
      </c>
      <c r="J40" s="220"/>
      <c r="K40" s="221" t="s">
        <v>341</v>
      </c>
      <c r="L40" s="220"/>
      <c r="N40" s="219" t="s">
        <v>339</v>
      </c>
      <c r="O40" s="219" t="s">
        <v>340</v>
      </c>
      <c r="P40" s="220"/>
      <c r="Q40" s="221" t="s">
        <v>341</v>
      </c>
      <c r="R40" s="220"/>
    </row>
    <row r="41" spans="2:23" x14ac:dyDescent="0.3">
      <c r="B41" s="239"/>
      <c r="C41" s="239"/>
      <c r="D41" s="223">
        <f t="shared" ref="D41:D49" si="12">IF(C41="",0,C41-B41+1)</f>
        <v>0</v>
      </c>
      <c r="E41" s="224"/>
      <c r="F41" s="225">
        <f t="shared" ref="F41:F49" si="13">+D41*E41</f>
        <v>0</v>
      </c>
      <c r="H41" s="239"/>
      <c r="I41" s="239"/>
      <c r="J41" s="223">
        <f t="shared" ref="J41:J49" si="14">IF(I41="",0,I41-H41+1)</f>
        <v>0</v>
      </c>
      <c r="K41" s="224"/>
      <c r="L41" s="225">
        <f t="shared" ref="L41:L49" si="15">+J41*K41</f>
        <v>0</v>
      </c>
      <c r="N41" s="239"/>
      <c r="O41" s="239"/>
      <c r="P41" s="223">
        <f t="shared" ref="P41:P49" si="16">IF(O41="",0,O41-N41+1)</f>
        <v>0</v>
      </c>
      <c r="Q41" s="224"/>
      <c r="R41" s="225">
        <f t="shared" ref="R41:R49" si="17">+P41*Q41</f>
        <v>0</v>
      </c>
    </row>
    <row r="42" spans="2:23" x14ac:dyDescent="0.3">
      <c r="B42" s="239"/>
      <c r="C42" s="239"/>
      <c r="D42" s="223">
        <f t="shared" si="12"/>
        <v>0</v>
      </c>
      <c r="E42" s="224"/>
      <c r="F42" s="225">
        <f t="shared" si="13"/>
        <v>0</v>
      </c>
      <c r="H42" s="239"/>
      <c r="I42" s="239"/>
      <c r="J42" s="223">
        <f t="shared" si="14"/>
        <v>0</v>
      </c>
      <c r="K42" s="224"/>
      <c r="L42" s="225">
        <f t="shared" si="15"/>
        <v>0</v>
      </c>
      <c r="N42" s="239"/>
      <c r="O42" s="239"/>
      <c r="P42" s="223">
        <f t="shared" si="16"/>
        <v>0</v>
      </c>
      <c r="Q42" s="224"/>
      <c r="R42" s="225">
        <f t="shared" si="17"/>
        <v>0</v>
      </c>
    </row>
    <row r="43" spans="2:23" x14ac:dyDescent="0.3">
      <c r="B43" s="239"/>
      <c r="C43" s="239"/>
      <c r="D43" s="223">
        <f t="shared" si="12"/>
        <v>0</v>
      </c>
      <c r="E43" s="224"/>
      <c r="F43" s="225">
        <f t="shared" si="13"/>
        <v>0</v>
      </c>
      <c r="H43" s="239"/>
      <c r="I43" s="239"/>
      <c r="J43" s="223">
        <f t="shared" si="14"/>
        <v>0</v>
      </c>
      <c r="K43" s="224"/>
      <c r="L43" s="225">
        <f t="shared" si="15"/>
        <v>0</v>
      </c>
      <c r="N43" s="239"/>
      <c r="O43" s="239"/>
      <c r="P43" s="223">
        <f t="shared" si="16"/>
        <v>0</v>
      </c>
      <c r="Q43" s="224"/>
      <c r="R43" s="225">
        <f t="shared" si="17"/>
        <v>0</v>
      </c>
    </row>
    <row r="44" spans="2:23" x14ac:dyDescent="0.3">
      <c r="B44" s="239"/>
      <c r="C44" s="239"/>
      <c r="D44" s="223">
        <f t="shared" si="12"/>
        <v>0</v>
      </c>
      <c r="E44" s="224"/>
      <c r="F44" s="225">
        <f t="shared" si="13"/>
        <v>0</v>
      </c>
      <c r="H44" s="239"/>
      <c r="I44" s="239"/>
      <c r="J44" s="223">
        <f t="shared" si="14"/>
        <v>0</v>
      </c>
      <c r="K44" s="224"/>
      <c r="L44" s="225">
        <f t="shared" si="15"/>
        <v>0</v>
      </c>
      <c r="N44" s="239"/>
      <c r="O44" s="239"/>
      <c r="P44" s="223">
        <f t="shared" si="16"/>
        <v>0</v>
      </c>
      <c r="Q44" s="224"/>
      <c r="R44" s="225">
        <f t="shared" si="17"/>
        <v>0</v>
      </c>
    </row>
    <row r="45" spans="2:23" x14ac:dyDescent="0.3">
      <c r="B45" s="239"/>
      <c r="C45" s="239"/>
      <c r="D45" s="223">
        <f t="shared" si="12"/>
        <v>0</v>
      </c>
      <c r="E45" s="224"/>
      <c r="F45" s="225">
        <f t="shared" si="13"/>
        <v>0</v>
      </c>
      <c r="H45" s="239"/>
      <c r="I45" s="239"/>
      <c r="J45" s="223">
        <f t="shared" si="14"/>
        <v>0</v>
      </c>
      <c r="K45" s="224"/>
      <c r="L45" s="225">
        <f t="shared" si="15"/>
        <v>0</v>
      </c>
      <c r="N45" s="239"/>
      <c r="O45" s="239"/>
      <c r="P45" s="223">
        <f t="shared" si="16"/>
        <v>0</v>
      </c>
      <c r="Q45" s="224"/>
      <c r="R45" s="225">
        <f t="shared" si="17"/>
        <v>0</v>
      </c>
    </row>
    <row r="46" spans="2:23" x14ac:dyDescent="0.3">
      <c r="B46" s="239"/>
      <c r="C46" s="239"/>
      <c r="D46" s="223">
        <f t="shared" si="12"/>
        <v>0</v>
      </c>
      <c r="E46" s="224"/>
      <c r="F46" s="225">
        <f t="shared" si="13"/>
        <v>0</v>
      </c>
      <c r="H46" s="239"/>
      <c r="I46" s="239"/>
      <c r="J46" s="223">
        <f t="shared" si="14"/>
        <v>0</v>
      </c>
      <c r="K46" s="224"/>
      <c r="L46" s="225">
        <f t="shared" si="15"/>
        <v>0</v>
      </c>
      <c r="N46" s="239"/>
      <c r="O46" s="239"/>
      <c r="P46" s="223">
        <f t="shared" si="16"/>
        <v>0</v>
      </c>
      <c r="Q46" s="224"/>
      <c r="R46" s="225">
        <f t="shared" si="17"/>
        <v>0</v>
      </c>
    </row>
    <row r="47" spans="2:23" x14ac:dyDescent="0.3">
      <c r="B47" s="240"/>
      <c r="C47" s="240"/>
      <c r="D47" s="223">
        <f t="shared" si="12"/>
        <v>0</v>
      </c>
      <c r="E47" s="224"/>
      <c r="F47" s="225">
        <f t="shared" si="13"/>
        <v>0</v>
      </c>
      <c r="H47" s="240"/>
      <c r="I47" s="240"/>
      <c r="J47" s="223">
        <f t="shared" si="14"/>
        <v>0</v>
      </c>
      <c r="K47" s="224"/>
      <c r="L47" s="225">
        <f t="shared" si="15"/>
        <v>0</v>
      </c>
      <c r="N47" s="240"/>
      <c r="O47" s="240"/>
      <c r="P47" s="223">
        <f t="shared" si="16"/>
        <v>0</v>
      </c>
      <c r="Q47" s="224"/>
      <c r="R47" s="225">
        <f t="shared" si="17"/>
        <v>0</v>
      </c>
    </row>
    <row r="48" spans="2:23" x14ac:dyDescent="0.3">
      <c r="B48" s="240"/>
      <c r="C48" s="240"/>
      <c r="D48" s="223">
        <f t="shared" si="12"/>
        <v>0</v>
      </c>
      <c r="E48" s="224"/>
      <c r="F48" s="225">
        <f t="shared" si="13"/>
        <v>0</v>
      </c>
      <c r="H48" s="240"/>
      <c r="I48" s="240"/>
      <c r="J48" s="223">
        <f t="shared" si="14"/>
        <v>0</v>
      </c>
      <c r="K48" s="224"/>
      <c r="L48" s="225">
        <f t="shared" si="15"/>
        <v>0</v>
      </c>
      <c r="N48" s="240"/>
      <c r="O48" s="240"/>
      <c r="P48" s="223">
        <f t="shared" si="16"/>
        <v>0</v>
      </c>
      <c r="Q48" s="224"/>
      <c r="R48" s="225">
        <f t="shared" si="17"/>
        <v>0</v>
      </c>
    </row>
    <row r="49" spans="2:23" x14ac:dyDescent="0.3">
      <c r="B49" s="240"/>
      <c r="C49" s="240"/>
      <c r="D49" s="223">
        <f t="shared" si="12"/>
        <v>0</v>
      </c>
      <c r="E49" s="224"/>
      <c r="F49" s="225">
        <f t="shared" si="13"/>
        <v>0</v>
      </c>
      <c r="H49" s="240"/>
      <c r="I49" s="240"/>
      <c r="J49" s="223">
        <f t="shared" si="14"/>
        <v>0</v>
      </c>
      <c r="K49" s="224"/>
      <c r="L49" s="225">
        <f t="shared" si="15"/>
        <v>0</v>
      </c>
      <c r="N49" s="240"/>
      <c r="O49" s="240"/>
      <c r="P49" s="223">
        <f t="shared" si="16"/>
        <v>0</v>
      </c>
      <c r="Q49" s="224"/>
      <c r="R49" s="225">
        <f t="shared" si="17"/>
        <v>0</v>
      </c>
    </row>
    <row r="50" spans="2:23" ht="4.5" customHeight="1" x14ac:dyDescent="0.3"/>
    <row r="51" spans="2:23" x14ac:dyDescent="0.3">
      <c r="C51" s="227" t="s">
        <v>57</v>
      </c>
      <c r="D51" s="241">
        <f>SUM(D41:D49)</f>
        <v>0</v>
      </c>
      <c r="F51" s="228">
        <f>SUM(F41:F49)</f>
        <v>0</v>
      </c>
      <c r="I51" s="227" t="s">
        <v>57</v>
      </c>
      <c r="J51" s="241">
        <f>SUM(J41:J49)</f>
        <v>0</v>
      </c>
      <c r="L51" s="228">
        <f>SUM(L41:L49)</f>
        <v>0</v>
      </c>
      <c r="O51" s="227" t="s">
        <v>57</v>
      </c>
      <c r="P51" s="241">
        <f>SUM(P41:P49)</f>
        <v>0</v>
      </c>
      <c r="R51" s="228">
        <f>SUM(R41:R49)</f>
        <v>0</v>
      </c>
    </row>
    <row r="52" spans="2:23" ht="3.75" customHeight="1" x14ac:dyDescent="0.3"/>
    <row r="53" spans="2:23" x14ac:dyDescent="0.3">
      <c r="E53" s="229" t="s">
        <v>56</v>
      </c>
      <c r="F53" s="230">
        <f>IF(D51=0,0,F51/D51)</f>
        <v>0</v>
      </c>
      <c r="K53" s="229" t="s">
        <v>56</v>
      </c>
      <c r="L53" s="230">
        <f>IF(J51=0,0,L51/J51)</f>
        <v>0</v>
      </c>
      <c r="Q53" s="229" t="s">
        <v>56</v>
      </c>
      <c r="R53" s="230">
        <f>IF(P51=0,0,R51/P51)</f>
        <v>0</v>
      </c>
    </row>
    <row r="55" spans="2:23" x14ac:dyDescent="0.3">
      <c r="B55" s="238" t="s">
        <v>346</v>
      </c>
      <c r="C55" s="959"/>
      <c r="D55" s="959"/>
      <c r="E55" s="959"/>
      <c r="F55" s="959"/>
      <c r="H55" s="238" t="s">
        <v>346</v>
      </c>
      <c r="I55" s="959"/>
      <c r="J55" s="959"/>
      <c r="K55" s="959"/>
      <c r="L55" s="959"/>
      <c r="N55" s="238" t="s">
        <v>346</v>
      </c>
      <c r="O55" s="959"/>
      <c r="P55" s="959"/>
      <c r="Q55" s="959"/>
      <c r="R55" s="959"/>
      <c r="U55" s="225" t="str">
        <f>IF(C55&gt;"",C55,"")</f>
        <v/>
      </c>
      <c r="V55" s="225" t="str">
        <f>IF(I55&gt;"",I55,"")</f>
        <v/>
      </c>
      <c r="W55" s="225" t="str">
        <f>IF(O55&gt;"",O55,"")</f>
        <v/>
      </c>
    </row>
    <row r="56" spans="2:23" ht="4.5" customHeight="1" x14ac:dyDescent="0.3"/>
    <row r="57" spans="2:23" x14ac:dyDescent="0.3">
      <c r="B57" s="219" t="s">
        <v>339</v>
      </c>
      <c r="C57" s="219" t="s">
        <v>340</v>
      </c>
      <c r="D57" s="220"/>
      <c r="E57" s="221" t="s">
        <v>341</v>
      </c>
      <c r="F57" s="220"/>
      <c r="H57" s="219" t="s">
        <v>339</v>
      </c>
      <c r="I57" s="219" t="s">
        <v>340</v>
      </c>
      <c r="J57" s="220"/>
      <c r="K57" s="221" t="s">
        <v>341</v>
      </c>
      <c r="L57" s="220"/>
      <c r="N57" s="219" t="s">
        <v>339</v>
      </c>
      <c r="O57" s="219" t="s">
        <v>340</v>
      </c>
      <c r="P57" s="220"/>
      <c r="Q57" s="221" t="s">
        <v>341</v>
      </c>
      <c r="R57" s="220"/>
    </row>
    <row r="58" spans="2:23" x14ac:dyDescent="0.3">
      <c r="B58" s="239"/>
      <c r="C58" s="239"/>
      <c r="D58" s="223">
        <f t="shared" ref="D58:D66" si="18">IF(C58="",0,C58-B58+1)</f>
        <v>0</v>
      </c>
      <c r="E58" s="224"/>
      <c r="F58" s="225">
        <f t="shared" ref="F58:F66" si="19">+D58*E58</f>
        <v>0</v>
      </c>
      <c r="H58" s="239"/>
      <c r="I58" s="239"/>
      <c r="J58" s="223">
        <f t="shared" ref="J58:J66" si="20">IF(I58="",0,I58-H58+1)</f>
        <v>0</v>
      </c>
      <c r="K58" s="224"/>
      <c r="L58" s="225">
        <f t="shared" ref="L58:L66" si="21">+J58*K58</f>
        <v>0</v>
      </c>
      <c r="N58" s="239"/>
      <c r="O58" s="239"/>
      <c r="P58" s="223">
        <f t="shared" ref="P58:P66" si="22">IF(O58="",0,O58-N58+1)</f>
        <v>0</v>
      </c>
      <c r="Q58" s="224"/>
      <c r="R58" s="225">
        <f t="shared" ref="R58:R66" si="23">+P58*Q58</f>
        <v>0</v>
      </c>
    </row>
    <row r="59" spans="2:23" x14ac:dyDescent="0.3">
      <c r="B59" s="239"/>
      <c r="C59" s="239"/>
      <c r="D59" s="223">
        <f t="shared" si="18"/>
        <v>0</v>
      </c>
      <c r="E59" s="224"/>
      <c r="F59" s="225">
        <f t="shared" si="19"/>
        <v>0</v>
      </c>
      <c r="H59" s="239"/>
      <c r="I59" s="239"/>
      <c r="J59" s="223">
        <f t="shared" si="20"/>
        <v>0</v>
      </c>
      <c r="K59" s="224"/>
      <c r="L59" s="225">
        <f t="shared" si="21"/>
        <v>0</v>
      </c>
      <c r="N59" s="239"/>
      <c r="O59" s="239"/>
      <c r="P59" s="223">
        <f t="shared" si="22"/>
        <v>0</v>
      </c>
      <c r="Q59" s="224"/>
      <c r="R59" s="225">
        <f t="shared" si="23"/>
        <v>0</v>
      </c>
    </row>
    <row r="60" spans="2:23" x14ac:dyDescent="0.3">
      <c r="B60" s="239"/>
      <c r="C60" s="239"/>
      <c r="D60" s="223">
        <f t="shared" si="18"/>
        <v>0</v>
      </c>
      <c r="E60" s="224"/>
      <c r="F60" s="225">
        <f t="shared" si="19"/>
        <v>0</v>
      </c>
      <c r="H60" s="239"/>
      <c r="I60" s="239"/>
      <c r="J60" s="223">
        <f t="shared" si="20"/>
        <v>0</v>
      </c>
      <c r="K60" s="224"/>
      <c r="L60" s="225">
        <f t="shared" si="21"/>
        <v>0</v>
      </c>
      <c r="N60" s="239"/>
      <c r="O60" s="239"/>
      <c r="P60" s="223">
        <f t="shared" si="22"/>
        <v>0</v>
      </c>
      <c r="Q60" s="224"/>
      <c r="R60" s="225">
        <f t="shared" si="23"/>
        <v>0</v>
      </c>
    </row>
    <row r="61" spans="2:23" x14ac:dyDescent="0.3">
      <c r="B61" s="239"/>
      <c r="C61" s="239"/>
      <c r="D61" s="223">
        <f t="shared" si="18"/>
        <v>0</v>
      </c>
      <c r="E61" s="224"/>
      <c r="F61" s="225">
        <f t="shared" si="19"/>
        <v>0</v>
      </c>
      <c r="H61" s="239"/>
      <c r="I61" s="239"/>
      <c r="J61" s="223">
        <f t="shared" si="20"/>
        <v>0</v>
      </c>
      <c r="K61" s="224"/>
      <c r="L61" s="225">
        <f t="shared" si="21"/>
        <v>0</v>
      </c>
      <c r="N61" s="239"/>
      <c r="O61" s="239"/>
      <c r="P61" s="223">
        <f t="shared" si="22"/>
        <v>0</v>
      </c>
      <c r="Q61" s="224"/>
      <c r="R61" s="225">
        <f t="shared" si="23"/>
        <v>0</v>
      </c>
    </row>
    <row r="62" spans="2:23" x14ac:dyDescent="0.3">
      <c r="B62" s="239"/>
      <c r="C62" s="239"/>
      <c r="D62" s="223">
        <f t="shared" si="18"/>
        <v>0</v>
      </c>
      <c r="E62" s="224"/>
      <c r="F62" s="225">
        <f t="shared" si="19"/>
        <v>0</v>
      </c>
      <c r="H62" s="239"/>
      <c r="I62" s="239"/>
      <c r="J62" s="223">
        <f t="shared" si="20"/>
        <v>0</v>
      </c>
      <c r="K62" s="224"/>
      <c r="L62" s="225">
        <f t="shared" si="21"/>
        <v>0</v>
      </c>
      <c r="N62" s="239"/>
      <c r="O62" s="239"/>
      <c r="P62" s="223">
        <f t="shared" si="22"/>
        <v>0</v>
      </c>
      <c r="Q62" s="224"/>
      <c r="R62" s="225">
        <f t="shared" si="23"/>
        <v>0</v>
      </c>
    </row>
    <row r="63" spans="2:23" x14ac:dyDescent="0.3">
      <c r="B63" s="239"/>
      <c r="C63" s="239"/>
      <c r="D63" s="223">
        <f t="shared" si="18"/>
        <v>0</v>
      </c>
      <c r="E63" s="224"/>
      <c r="F63" s="225">
        <f t="shared" si="19"/>
        <v>0</v>
      </c>
      <c r="H63" s="239"/>
      <c r="I63" s="239"/>
      <c r="J63" s="223">
        <f t="shared" si="20"/>
        <v>0</v>
      </c>
      <c r="K63" s="224"/>
      <c r="L63" s="225">
        <f t="shared" si="21"/>
        <v>0</v>
      </c>
      <c r="N63" s="239"/>
      <c r="O63" s="239"/>
      <c r="P63" s="223">
        <f t="shared" si="22"/>
        <v>0</v>
      </c>
      <c r="Q63" s="224"/>
      <c r="R63" s="225">
        <f t="shared" si="23"/>
        <v>0</v>
      </c>
    </row>
    <row r="64" spans="2:23" x14ac:dyDescent="0.3">
      <c r="B64" s="240"/>
      <c r="C64" s="240"/>
      <c r="D64" s="223">
        <f t="shared" si="18"/>
        <v>0</v>
      </c>
      <c r="E64" s="224"/>
      <c r="F64" s="225">
        <f t="shared" si="19"/>
        <v>0</v>
      </c>
      <c r="H64" s="240"/>
      <c r="I64" s="240"/>
      <c r="J64" s="223">
        <f t="shared" si="20"/>
        <v>0</v>
      </c>
      <c r="K64" s="224"/>
      <c r="L64" s="225">
        <f t="shared" si="21"/>
        <v>0</v>
      </c>
      <c r="N64" s="240"/>
      <c r="O64" s="240"/>
      <c r="P64" s="223">
        <f t="shared" si="22"/>
        <v>0</v>
      </c>
      <c r="Q64" s="224"/>
      <c r="R64" s="225">
        <f t="shared" si="23"/>
        <v>0</v>
      </c>
    </row>
    <row r="65" spans="2:23" x14ac:dyDescent="0.3">
      <c r="B65" s="240"/>
      <c r="C65" s="240"/>
      <c r="D65" s="223">
        <f t="shared" si="18"/>
        <v>0</v>
      </c>
      <c r="E65" s="224"/>
      <c r="F65" s="225">
        <f t="shared" si="19"/>
        <v>0</v>
      </c>
      <c r="H65" s="240"/>
      <c r="I65" s="240"/>
      <c r="J65" s="223">
        <f t="shared" si="20"/>
        <v>0</v>
      </c>
      <c r="K65" s="224"/>
      <c r="L65" s="225">
        <f t="shared" si="21"/>
        <v>0</v>
      </c>
      <c r="N65" s="240"/>
      <c r="O65" s="240"/>
      <c r="P65" s="223">
        <f t="shared" si="22"/>
        <v>0</v>
      </c>
      <c r="Q65" s="224"/>
      <c r="R65" s="225">
        <f t="shared" si="23"/>
        <v>0</v>
      </c>
    </row>
    <row r="66" spans="2:23" x14ac:dyDescent="0.3">
      <c r="B66" s="240"/>
      <c r="C66" s="240"/>
      <c r="D66" s="223">
        <f t="shared" si="18"/>
        <v>0</v>
      </c>
      <c r="E66" s="224"/>
      <c r="F66" s="225">
        <f t="shared" si="19"/>
        <v>0</v>
      </c>
      <c r="H66" s="240"/>
      <c r="I66" s="240"/>
      <c r="J66" s="223">
        <f t="shared" si="20"/>
        <v>0</v>
      </c>
      <c r="K66" s="224"/>
      <c r="L66" s="225">
        <f t="shared" si="21"/>
        <v>0</v>
      </c>
      <c r="N66" s="240"/>
      <c r="O66" s="240"/>
      <c r="P66" s="223">
        <f t="shared" si="22"/>
        <v>0</v>
      </c>
      <c r="Q66" s="224"/>
      <c r="R66" s="225">
        <f t="shared" si="23"/>
        <v>0</v>
      </c>
    </row>
    <row r="67" spans="2:23" ht="4.5" customHeight="1" x14ac:dyDescent="0.3"/>
    <row r="68" spans="2:23" x14ac:dyDescent="0.3">
      <c r="C68" s="227" t="s">
        <v>57</v>
      </c>
      <c r="D68" s="241">
        <f>SUM(D58:D66)</f>
        <v>0</v>
      </c>
      <c r="F68" s="228">
        <f>SUM(F58:F66)</f>
        <v>0</v>
      </c>
      <c r="I68" s="227" t="s">
        <v>57</v>
      </c>
      <c r="J68" s="241">
        <f>SUM(J58:J66)</f>
        <v>0</v>
      </c>
      <c r="L68" s="228">
        <f>SUM(L58:L66)</f>
        <v>0</v>
      </c>
      <c r="O68" s="227" t="s">
        <v>57</v>
      </c>
      <c r="P68" s="241">
        <f>SUM(P58:P66)</f>
        <v>0</v>
      </c>
      <c r="R68" s="228">
        <f>SUM(R58:R66)</f>
        <v>0</v>
      </c>
    </row>
    <row r="69" spans="2:23" ht="3.75" customHeight="1" x14ac:dyDescent="0.3"/>
    <row r="70" spans="2:23" x14ac:dyDescent="0.3">
      <c r="E70" s="229" t="s">
        <v>56</v>
      </c>
      <c r="F70" s="230">
        <f>IF(D68=0,0,F68/D68)</f>
        <v>0</v>
      </c>
      <c r="K70" s="229" t="s">
        <v>56</v>
      </c>
      <c r="L70" s="230">
        <f>IF(J68=0,0,L68/J68)</f>
        <v>0</v>
      </c>
      <c r="Q70" s="229" t="s">
        <v>56</v>
      </c>
      <c r="R70" s="230">
        <f>IF(P68=0,0,R68/P68)</f>
        <v>0</v>
      </c>
    </row>
    <row r="72" spans="2:23" x14ac:dyDescent="0.3">
      <c r="B72" s="238" t="s">
        <v>346</v>
      </c>
      <c r="C72" s="959"/>
      <c r="D72" s="959"/>
      <c r="E72" s="959"/>
      <c r="F72" s="959"/>
      <c r="H72" s="238" t="s">
        <v>346</v>
      </c>
      <c r="I72" s="959"/>
      <c r="J72" s="959"/>
      <c r="K72" s="959"/>
      <c r="L72" s="959"/>
      <c r="N72" s="238" t="s">
        <v>346</v>
      </c>
      <c r="O72" s="959"/>
      <c r="P72" s="959"/>
      <c r="Q72" s="959"/>
      <c r="R72" s="959"/>
      <c r="U72" s="225" t="str">
        <f>IF(C72&gt;"",C72,"")</f>
        <v/>
      </c>
      <c r="V72" s="225" t="str">
        <f>IF(I72&gt;"",I72,"")</f>
        <v/>
      </c>
      <c r="W72" s="225" t="str">
        <f>IF(O72&gt;"",O72,"")</f>
        <v/>
      </c>
    </row>
    <row r="73" spans="2:23" ht="4.5" customHeight="1" x14ac:dyDescent="0.3"/>
    <row r="74" spans="2:23" x14ac:dyDescent="0.3">
      <c r="B74" s="219" t="s">
        <v>339</v>
      </c>
      <c r="C74" s="219" t="s">
        <v>340</v>
      </c>
      <c r="D74" s="220"/>
      <c r="E74" s="221" t="s">
        <v>341</v>
      </c>
      <c r="F74" s="220"/>
      <c r="H74" s="219" t="s">
        <v>339</v>
      </c>
      <c r="I74" s="219" t="s">
        <v>340</v>
      </c>
      <c r="J74" s="220"/>
      <c r="K74" s="221" t="s">
        <v>341</v>
      </c>
      <c r="L74" s="220"/>
      <c r="N74" s="219" t="s">
        <v>339</v>
      </c>
      <c r="O74" s="219" t="s">
        <v>340</v>
      </c>
      <c r="P74" s="220"/>
      <c r="Q74" s="221" t="s">
        <v>341</v>
      </c>
      <c r="R74" s="220"/>
    </row>
    <row r="75" spans="2:23" x14ac:dyDescent="0.3">
      <c r="B75" s="239"/>
      <c r="C75" s="239"/>
      <c r="D75" s="223">
        <f t="shared" ref="D75:D83" si="24">IF(C75="",0,C75-B75+1)</f>
        <v>0</v>
      </c>
      <c r="E75" s="224"/>
      <c r="F75" s="225">
        <f t="shared" ref="F75:F83" si="25">+D75*E75</f>
        <v>0</v>
      </c>
      <c r="H75" s="239"/>
      <c r="I75" s="239"/>
      <c r="J75" s="223">
        <f t="shared" ref="J75:J83" si="26">IF(I75="",0,I75-H75+1)</f>
        <v>0</v>
      </c>
      <c r="K75" s="224"/>
      <c r="L75" s="225">
        <f t="shared" ref="L75:L83" si="27">+J75*K75</f>
        <v>0</v>
      </c>
      <c r="N75" s="239"/>
      <c r="O75" s="239"/>
      <c r="P75" s="223">
        <f t="shared" ref="P75:P83" si="28">IF(O75="",0,O75-N75+1)</f>
        <v>0</v>
      </c>
      <c r="Q75" s="224"/>
      <c r="R75" s="225">
        <f t="shared" ref="R75:R83" si="29">+P75*Q75</f>
        <v>0</v>
      </c>
    </row>
    <row r="76" spans="2:23" x14ac:dyDescent="0.3">
      <c r="B76" s="239"/>
      <c r="C76" s="239"/>
      <c r="D76" s="223">
        <f t="shared" si="24"/>
        <v>0</v>
      </c>
      <c r="E76" s="224"/>
      <c r="F76" s="225">
        <f t="shared" si="25"/>
        <v>0</v>
      </c>
      <c r="H76" s="239"/>
      <c r="I76" s="239"/>
      <c r="J76" s="223">
        <f t="shared" si="26"/>
        <v>0</v>
      </c>
      <c r="K76" s="224"/>
      <c r="L76" s="225">
        <f t="shared" si="27"/>
        <v>0</v>
      </c>
      <c r="N76" s="239"/>
      <c r="O76" s="239"/>
      <c r="P76" s="223">
        <f t="shared" si="28"/>
        <v>0</v>
      </c>
      <c r="Q76" s="224"/>
      <c r="R76" s="225">
        <f t="shared" si="29"/>
        <v>0</v>
      </c>
    </row>
    <row r="77" spans="2:23" x14ac:dyDescent="0.3">
      <c r="B77" s="239"/>
      <c r="C77" s="239"/>
      <c r="D77" s="223">
        <f t="shared" si="24"/>
        <v>0</v>
      </c>
      <c r="E77" s="224"/>
      <c r="F77" s="225">
        <f t="shared" si="25"/>
        <v>0</v>
      </c>
      <c r="H77" s="239"/>
      <c r="I77" s="239"/>
      <c r="J77" s="223">
        <f t="shared" si="26"/>
        <v>0</v>
      </c>
      <c r="K77" s="224"/>
      <c r="L77" s="225">
        <f t="shared" si="27"/>
        <v>0</v>
      </c>
      <c r="N77" s="239"/>
      <c r="O77" s="239"/>
      <c r="P77" s="223">
        <f t="shared" si="28"/>
        <v>0</v>
      </c>
      <c r="Q77" s="224"/>
      <c r="R77" s="225">
        <f t="shared" si="29"/>
        <v>0</v>
      </c>
    </row>
    <row r="78" spans="2:23" x14ac:dyDescent="0.3">
      <c r="B78" s="239"/>
      <c r="C78" s="239"/>
      <c r="D78" s="223">
        <f t="shared" si="24"/>
        <v>0</v>
      </c>
      <c r="E78" s="224"/>
      <c r="F78" s="225">
        <f t="shared" si="25"/>
        <v>0</v>
      </c>
      <c r="H78" s="239"/>
      <c r="I78" s="239"/>
      <c r="J78" s="223">
        <f t="shared" si="26"/>
        <v>0</v>
      </c>
      <c r="K78" s="224"/>
      <c r="L78" s="225">
        <f t="shared" si="27"/>
        <v>0</v>
      </c>
      <c r="N78" s="239"/>
      <c r="O78" s="239"/>
      <c r="P78" s="223">
        <f t="shared" si="28"/>
        <v>0</v>
      </c>
      <c r="Q78" s="224"/>
      <c r="R78" s="225">
        <f t="shared" si="29"/>
        <v>0</v>
      </c>
    </row>
    <row r="79" spans="2:23" x14ac:dyDescent="0.3">
      <c r="B79" s="239"/>
      <c r="C79" s="239"/>
      <c r="D79" s="223">
        <f t="shared" si="24"/>
        <v>0</v>
      </c>
      <c r="E79" s="224"/>
      <c r="F79" s="225">
        <f t="shared" si="25"/>
        <v>0</v>
      </c>
      <c r="H79" s="239"/>
      <c r="I79" s="239"/>
      <c r="J79" s="223">
        <f t="shared" si="26"/>
        <v>0</v>
      </c>
      <c r="K79" s="224"/>
      <c r="L79" s="225">
        <f t="shared" si="27"/>
        <v>0</v>
      </c>
      <c r="N79" s="239"/>
      <c r="O79" s="239"/>
      <c r="P79" s="223">
        <f t="shared" si="28"/>
        <v>0</v>
      </c>
      <c r="Q79" s="224"/>
      <c r="R79" s="225">
        <f t="shared" si="29"/>
        <v>0</v>
      </c>
    </row>
    <row r="80" spans="2:23" x14ac:dyDescent="0.3">
      <c r="B80" s="239"/>
      <c r="C80" s="239"/>
      <c r="D80" s="223">
        <f t="shared" si="24"/>
        <v>0</v>
      </c>
      <c r="E80" s="224"/>
      <c r="F80" s="225">
        <f t="shared" si="25"/>
        <v>0</v>
      </c>
      <c r="H80" s="239"/>
      <c r="I80" s="239"/>
      <c r="J80" s="223">
        <f t="shared" si="26"/>
        <v>0</v>
      </c>
      <c r="K80" s="224"/>
      <c r="L80" s="225">
        <f t="shared" si="27"/>
        <v>0</v>
      </c>
      <c r="N80" s="239"/>
      <c r="O80" s="239"/>
      <c r="P80" s="223">
        <f t="shared" si="28"/>
        <v>0</v>
      </c>
      <c r="Q80" s="224"/>
      <c r="R80" s="225">
        <f t="shared" si="29"/>
        <v>0</v>
      </c>
    </row>
    <row r="81" spans="2:23" x14ac:dyDescent="0.3">
      <c r="B81" s="240"/>
      <c r="C81" s="240"/>
      <c r="D81" s="223">
        <f t="shared" si="24"/>
        <v>0</v>
      </c>
      <c r="E81" s="224"/>
      <c r="F81" s="225">
        <f t="shared" si="25"/>
        <v>0</v>
      </c>
      <c r="H81" s="240"/>
      <c r="I81" s="240"/>
      <c r="J81" s="223">
        <f t="shared" si="26"/>
        <v>0</v>
      </c>
      <c r="K81" s="224"/>
      <c r="L81" s="225">
        <f t="shared" si="27"/>
        <v>0</v>
      </c>
      <c r="N81" s="240"/>
      <c r="O81" s="240"/>
      <c r="P81" s="223">
        <f t="shared" si="28"/>
        <v>0</v>
      </c>
      <c r="Q81" s="224"/>
      <c r="R81" s="225">
        <f t="shared" si="29"/>
        <v>0</v>
      </c>
    </row>
    <row r="82" spans="2:23" x14ac:dyDescent="0.3">
      <c r="B82" s="240"/>
      <c r="C82" s="240"/>
      <c r="D82" s="223">
        <f t="shared" si="24"/>
        <v>0</v>
      </c>
      <c r="E82" s="224"/>
      <c r="F82" s="225">
        <f t="shared" si="25"/>
        <v>0</v>
      </c>
      <c r="H82" s="240"/>
      <c r="I82" s="240"/>
      <c r="J82" s="223">
        <f t="shared" si="26"/>
        <v>0</v>
      </c>
      <c r="K82" s="224"/>
      <c r="L82" s="225">
        <f t="shared" si="27"/>
        <v>0</v>
      </c>
      <c r="N82" s="240"/>
      <c r="O82" s="240"/>
      <c r="P82" s="223">
        <f t="shared" si="28"/>
        <v>0</v>
      </c>
      <c r="Q82" s="224"/>
      <c r="R82" s="225">
        <f t="shared" si="29"/>
        <v>0</v>
      </c>
    </row>
    <row r="83" spans="2:23" x14ac:dyDescent="0.3">
      <c r="B83" s="240"/>
      <c r="C83" s="240"/>
      <c r="D83" s="223">
        <f t="shared" si="24"/>
        <v>0</v>
      </c>
      <c r="E83" s="224"/>
      <c r="F83" s="225">
        <f t="shared" si="25"/>
        <v>0</v>
      </c>
      <c r="H83" s="240"/>
      <c r="I83" s="240"/>
      <c r="J83" s="223">
        <f t="shared" si="26"/>
        <v>0</v>
      </c>
      <c r="K83" s="224"/>
      <c r="L83" s="225">
        <f t="shared" si="27"/>
        <v>0</v>
      </c>
      <c r="N83" s="240"/>
      <c r="O83" s="240"/>
      <c r="P83" s="223">
        <f t="shared" si="28"/>
        <v>0</v>
      </c>
      <c r="Q83" s="224"/>
      <c r="R83" s="225">
        <f t="shared" si="29"/>
        <v>0</v>
      </c>
    </row>
    <row r="84" spans="2:23" ht="4.5" customHeight="1" x14ac:dyDescent="0.3">
      <c r="N84" s="243"/>
      <c r="O84" s="243"/>
    </row>
    <row r="85" spans="2:23" x14ac:dyDescent="0.3">
      <c r="C85" s="227" t="s">
        <v>57</v>
      </c>
      <c r="D85" s="241">
        <f>SUM(D75:D83)</f>
        <v>0</v>
      </c>
      <c r="F85" s="228">
        <f>SUM(F75:F83)</f>
        <v>0</v>
      </c>
      <c r="I85" s="227" t="s">
        <v>57</v>
      </c>
      <c r="J85" s="241">
        <f>SUM(J75:J83)</f>
        <v>0</v>
      </c>
      <c r="L85" s="228">
        <f>SUM(L75:L83)</f>
        <v>0</v>
      </c>
      <c r="O85" s="227" t="s">
        <v>57</v>
      </c>
      <c r="P85" s="241">
        <f>SUM(P75:P83)</f>
        <v>0</v>
      </c>
      <c r="R85" s="228">
        <f>SUM(R75:R83)</f>
        <v>0</v>
      </c>
    </row>
    <row r="86" spans="2:23" ht="3.75" customHeight="1" x14ac:dyDescent="0.3"/>
    <row r="87" spans="2:23" x14ac:dyDescent="0.3">
      <c r="E87" s="229" t="s">
        <v>56</v>
      </c>
      <c r="F87" s="230">
        <f>IF(D85=0,0,F85/D85)</f>
        <v>0</v>
      </c>
      <c r="K87" s="229" t="s">
        <v>56</v>
      </c>
      <c r="L87" s="230">
        <f>IF(J85=0,0,L85/J85)</f>
        <v>0</v>
      </c>
      <c r="Q87" s="229" t="s">
        <v>56</v>
      </c>
      <c r="R87" s="230">
        <f>IF(P85=0,0,R85/P85)</f>
        <v>0</v>
      </c>
    </row>
    <row r="89" spans="2:23" x14ac:dyDescent="0.3">
      <c r="B89" s="238" t="s">
        <v>346</v>
      </c>
      <c r="C89" s="959"/>
      <c r="D89" s="959"/>
      <c r="E89" s="959"/>
      <c r="F89" s="959"/>
      <c r="H89" s="238" t="s">
        <v>346</v>
      </c>
      <c r="I89" s="959"/>
      <c r="J89" s="959"/>
      <c r="K89" s="959"/>
      <c r="L89" s="959"/>
      <c r="N89" s="238" t="s">
        <v>346</v>
      </c>
      <c r="O89" s="959"/>
      <c r="P89" s="959"/>
      <c r="Q89" s="959"/>
      <c r="R89" s="959"/>
      <c r="U89" s="225" t="str">
        <f>IF(C89&gt;"",C89,"")</f>
        <v/>
      </c>
      <c r="V89" s="225" t="str">
        <f>IF(I89&gt;"",I89,"")</f>
        <v/>
      </c>
      <c r="W89" s="225" t="str">
        <f>IF(O89&gt;"",O89,"")</f>
        <v/>
      </c>
    </row>
    <row r="90" spans="2:23" ht="4.5" customHeight="1" x14ac:dyDescent="0.3"/>
    <row r="91" spans="2:23" x14ac:dyDescent="0.3">
      <c r="B91" s="219" t="s">
        <v>339</v>
      </c>
      <c r="C91" s="219" t="s">
        <v>340</v>
      </c>
      <c r="D91" s="220"/>
      <c r="E91" s="221" t="s">
        <v>341</v>
      </c>
      <c r="F91" s="220"/>
      <c r="H91" s="219" t="s">
        <v>339</v>
      </c>
      <c r="I91" s="219" t="s">
        <v>340</v>
      </c>
      <c r="J91" s="220"/>
      <c r="K91" s="221" t="s">
        <v>341</v>
      </c>
      <c r="L91" s="220"/>
      <c r="N91" s="219" t="s">
        <v>339</v>
      </c>
      <c r="O91" s="219" t="s">
        <v>340</v>
      </c>
      <c r="P91" s="220"/>
      <c r="Q91" s="221" t="s">
        <v>341</v>
      </c>
      <c r="R91" s="220"/>
    </row>
    <row r="92" spans="2:23" x14ac:dyDescent="0.3">
      <c r="B92" s="239"/>
      <c r="C92" s="239"/>
      <c r="D92" s="223">
        <f t="shared" ref="D92:D100" si="30">IF(C92="",0,C92-B92+1)</f>
        <v>0</v>
      </c>
      <c r="E92" s="224"/>
      <c r="F92" s="225">
        <f t="shared" ref="F92:F100" si="31">+D92*E92</f>
        <v>0</v>
      </c>
      <c r="H92" s="239"/>
      <c r="I92" s="239"/>
      <c r="J92" s="223">
        <f t="shared" ref="J92:J100" si="32">IF(I92="",0,I92-H92+1)</f>
        <v>0</v>
      </c>
      <c r="K92" s="224"/>
      <c r="L92" s="225">
        <f t="shared" ref="L92:L100" si="33">+J92*K92</f>
        <v>0</v>
      </c>
      <c r="N92" s="239"/>
      <c r="O92" s="239"/>
      <c r="P92" s="223">
        <f t="shared" ref="P92:P100" si="34">IF(O92="",0,O92-N92+1)</f>
        <v>0</v>
      </c>
      <c r="Q92" s="224"/>
      <c r="R92" s="225">
        <f t="shared" ref="R92:R100" si="35">+P92*Q92</f>
        <v>0</v>
      </c>
    </row>
    <row r="93" spans="2:23" x14ac:dyDescent="0.3">
      <c r="B93" s="239"/>
      <c r="C93" s="239"/>
      <c r="D93" s="223">
        <f t="shared" si="30"/>
        <v>0</v>
      </c>
      <c r="E93" s="224"/>
      <c r="F93" s="225">
        <f t="shared" si="31"/>
        <v>0</v>
      </c>
      <c r="H93" s="239"/>
      <c r="I93" s="239"/>
      <c r="J93" s="223">
        <f t="shared" si="32"/>
        <v>0</v>
      </c>
      <c r="K93" s="224"/>
      <c r="L93" s="225">
        <f t="shared" si="33"/>
        <v>0</v>
      </c>
      <c r="N93" s="239"/>
      <c r="O93" s="239"/>
      <c r="P93" s="223">
        <f t="shared" si="34"/>
        <v>0</v>
      </c>
      <c r="Q93" s="224"/>
      <c r="R93" s="225">
        <f t="shared" si="35"/>
        <v>0</v>
      </c>
    </row>
    <row r="94" spans="2:23" x14ac:dyDescent="0.3">
      <c r="B94" s="239"/>
      <c r="C94" s="239"/>
      <c r="D94" s="223">
        <f t="shared" si="30"/>
        <v>0</v>
      </c>
      <c r="E94" s="224"/>
      <c r="F94" s="225">
        <f t="shared" si="31"/>
        <v>0</v>
      </c>
      <c r="H94" s="239"/>
      <c r="I94" s="239"/>
      <c r="J94" s="223">
        <f t="shared" si="32"/>
        <v>0</v>
      </c>
      <c r="K94" s="224"/>
      <c r="L94" s="225">
        <f t="shared" si="33"/>
        <v>0</v>
      </c>
      <c r="N94" s="239"/>
      <c r="O94" s="239"/>
      <c r="P94" s="223">
        <f t="shared" si="34"/>
        <v>0</v>
      </c>
      <c r="Q94" s="224"/>
      <c r="R94" s="225">
        <f t="shared" si="35"/>
        <v>0</v>
      </c>
    </row>
    <row r="95" spans="2:23" x14ac:dyDescent="0.3">
      <c r="B95" s="239"/>
      <c r="C95" s="239"/>
      <c r="D95" s="223">
        <f t="shared" si="30"/>
        <v>0</v>
      </c>
      <c r="E95" s="224"/>
      <c r="F95" s="225">
        <f t="shared" si="31"/>
        <v>0</v>
      </c>
      <c r="H95" s="239"/>
      <c r="I95" s="239"/>
      <c r="J95" s="223">
        <f t="shared" si="32"/>
        <v>0</v>
      </c>
      <c r="K95" s="224"/>
      <c r="L95" s="225">
        <f t="shared" si="33"/>
        <v>0</v>
      </c>
      <c r="N95" s="239"/>
      <c r="O95" s="239"/>
      <c r="P95" s="223">
        <f t="shared" si="34"/>
        <v>0</v>
      </c>
      <c r="Q95" s="224"/>
      <c r="R95" s="225">
        <f t="shared" si="35"/>
        <v>0</v>
      </c>
    </row>
    <row r="96" spans="2:23" x14ac:dyDescent="0.3">
      <c r="B96" s="239"/>
      <c r="C96" s="239"/>
      <c r="D96" s="223">
        <f t="shared" si="30"/>
        <v>0</v>
      </c>
      <c r="E96" s="224"/>
      <c r="F96" s="225">
        <f t="shared" si="31"/>
        <v>0</v>
      </c>
      <c r="H96" s="239"/>
      <c r="I96" s="239"/>
      <c r="J96" s="223">
        <f t="shared" si="32"/>
        <v>0</v>
      </c>
      <c r="K96" s="224"/>
      <c r="L96" s="225">
        <f t="shared" si="33"/>
        <v>0</v>
      </c>
      <c r="N96" s="239"/>
      <c r="O96" s="239"/>
      <c r="P96" s="223">
        <f t="shared" si="34"/>
        <v>0</v>
      </c>
      <c r="Q96" s="224"/>
      <c r="R96" s="225">
        <f t="shared" si="35"/>
        <v>0</v>
      </c>
    </row>
    <row r="97" spans="2:23" x14ac:dyDescent="0.3">
      <c r="B97" s="239"/>
      <c r="C97" s="239"/>
      <c r="D97" s="223">
        <f t="shared" si="30"/>
        <v>0</v>
      </c>
      <c r="E97" s="224"/>
      <c r="F97" s="225">
        <f t="shared" si="31"/>
        <v>0</v>
      </c>
      <c r="H97" s="239"/>
      <c r="I97" s="239"/>
      <c r="J97" s="223">
        <f t="shared" si="32"/>
        <v>0</v>
      </c>
      <c r="K97" s="224"/>
      <c r="L97" s="225">
        <f t="shared" si="33"/>
        <v>0</v>
      </c>
      <c r="N97" s="239"/>
      <c r="O97" s="239"/>
      <c r="P97" s="223">
        <f t="shared" si="34"/>
        <v>0</v>
      </c>
      <c r="Q97" s="224"/>
      <c r="R97" s="225">
        <f t="shared" si="35"/>
        <v>0</v>
      </c>
    </row>
    <row r="98" spans="2:23" x14ac:dyDescent="0.3">
      <c r="B98" s="240"/>
      <c r="C98" s="240"/>
      <c r="D98" s="223">
        <f t="shared" si="30"/>
        <v>0</v>
      </c>
      <c r="E98" s="224"/>
      <c r="F98" s="225">
        <f t="shared" si="31"/>
        <v>0</v>
      </c>
      <c r="H98" s="240"/>
      <c r="I98" s="240"/>
      <c r="J98" s="223">
        <f t="shared" si="32"/>
        <v>0</v>
      </c>
      <c r="K98" s="224"/>
      <c r="L98" s="225">
        <f t="shared" si="33"/>
        <v>0</v>
      </c>
      <c r="N98" s="240"/>
      <c r="O98" s="240"/>
      <c r="P98" s="223">
        <f t="shared" si="34"/>
        <v>0</v>
      </c>
      <c r="Q98" s="224"/>
      <c r="R98" s="225">
        <f t="shared" si="35"/>
        <v>0</v>
      </c>
    </row>
    <row r="99" spans="2:23" x14ac:dyDescent="0.3">
      <c r="B99" s="240"/>
      <c r="C99" s="240"/>
      <c r="D99" s="223">
        <f t="shared" si="30"/>
        <v>0</v>
      </c>
      <c r="E99" s="224"/>
      <c r="F99" s="225">
        <f t="shared" si="31"/>
        <v>0</v>
      </c>
      <c r="H99" s="240"/>
      <c r="I99" s="240"/>
      <c r="J99" s="223">
        <f t="shared" si="32"/>
        <v>0</v>
      </c>
      <c r="K99" s="224"/>
      <c r="L99" s="225">
        <f t="shared" si="33"/>
        <v>0</v>
      </c>
      <c r="N99" s="240"/>
      <c r="O99" s="240"/>
      <c r="P99" s="223">
        <f t="shared" si="34"/>
        <v>0</v>
      </c>
      <c r="Q99" s="224"/>
      <c r="R99" s="225">
        <f t="shared" si="35"/>
        <v>0</v>
      </c>
    </row>
    <row r="100" spans="2:23" x14ac:dyDescent="0.3">
      <c r="B100" s="240"/>
      <c r="C100" s="240"/>
      <c r="D100" s="223">
        <f t="shared" si="30"/>
        <v>0</v>
      </c>
      <c r="E100" s="224"/>
      <c r="F100" s="225">
        <f t="shared" si="31"/>
        <v>0</v>
      </c>
      <c r="H100" s="240"/>
      <c r="I100" s="240"/>
      <c r="J100" s="223">
        <f t="shared" si="32"/>
        <v>0</v>
      </c>
      <c r="K100" s="224"/>
      <c r="L100" s="225">
        <f t="shared" si="33"/>
        <v>0</v>
      </c>
      <c r="N100" s="240"/>
      <c r="O100" s="240"/>
      <c r="P100" s="223">
        <f t="shared" si="34"/>
        <v>0</v>
      </c>
      <c r="Q100" s="224"/>
      <c r="R100" s="225">
        <f t="shared" si="35"/>
        <v>0</v>
      </c>
    </row>
    <row r="101" spans="2:23" ht="4.5" customHeight="1" x14ac:dyDescent="0.3"/>
    <row r="102" spans="2:23" x14ac:dyDescent="0.3">
      <c r="C102" s="227" t="s">
        <v>57</v>
      </c>
      <c r="D102" s="241">
        <f>SUM(D92:D100)</f>
        <v>0</v>
      </c>
      <c r="F102" s="228">
        <f>SUM(F92:F100)</f>
        <v>0</v>
      </c>
      <c r="I102" s="227" t="s">
        <v>57</v>
      </c>
      <c r="J102" s="241">
        <f>SUM(J92:J100)</f>
        <v>0</v>
      </c>
      <c r="L102" s="228">
        <f>SUM(L92:L100)</f>
        <v>0</v>
      </c>
      <c r="O102" s="227" t="s">
        <v>57</v>
      </c>
      <c r="P102" s="241">
        <f>SUM(P92:P100)</f>
        <v>0</v>
      </c>
      <c r="R102" s="228">
        <f>SUM(R92:R100)</f>
        <v>0</v>
      </c>
    </row>
    <row r="103" spans="2:23" ht="3.75" customHeight="1" x14ac:dyDescent="0.3"/>
    <row r="104" spans="2:23" x14ac:dyDescent="0.3">
      <c r="E104" s="229" t="s">
        <v>56</v>
      </c>
      <c r="F104" s="230">
        <f>IF(D102=0,0,F102/D102)</f>
        <v>0</v>
      </c>
      <c r="K104" s="229" t="s">
        <v>56</v>
      </c>
      <c r="L104" s="230">
        <f>IF(J102=0,0,L102/J102)</f>
        <v>0</v>
      </c>
      <c r="Q104" s="229" t="s">
        <v>56</v>
      </c>
      <c r="R104" s="230">
        <f>IF(P102=0,0,R102/P102)</f>
        <v>0</v>
      </c>
    </row>
    <row r="105" spans="2:23" ht="25.8" x14ac:dyDescent="0.5">
      <c r="B105" s="237"/>
      <c r="H105" s="237"/>
      <c r="N105" s="237"/>
    </row>
    <row r="106" spans="2:23" x14ac:dyDescent="0.3">
      <c r="B106" s="238" t="s">
        <v>346</v>
      </c>
      <c r="C106" s="959"/>
      <c r="D106" s="959"/>
      <c r="E106" s="959"/>
      <c r="F106" s="959"/>
      <c r="H106" s="238" t="s">
        <v>346</v>
      </c>
      <c r="I106" s="959"/>
      <c r="J106" s="959"/>
      <c r="K106" s="959"/>
      <c r="L106" s="959"/>
      <c r="N106" s="238" t="s">
        <v>346</v>
      </c>
      <c r="O106" s="959"/>
      <c r="P106" s="959"/>
      <c r="Q106" s="959"/>
      <c r="R106" s="959"/>
      <c r="U106" s="225" t="str">
        <f>IF(C106&gt;"",C106,"")</f>
        <v/>
      </c>
      <c r="V106" s="225" t="str">
        <f>IF(I106&gt;"",I106,"")</f>
        <v/>
      </c>
      <c r="W106" s="225" t="str">
        <f>IF(O106&gt;"",O106,"")</f>
        <v/>
      </c>
    </row>
    <row r="107" spans="2:23" ht="4.5" customHeight="1" x14ac:dyDescent="0.3"/>
    <row r="108" spans="2:23" x14ac:dyDescent="0.3">
      <c r="B108" s="219" t="s">
        <v>339</v>
      </c>
      <c r="C108" s="219" t="s">
        <v>340</v>
      </c>
      <c r="D108" s="220"/>
      <c r="E108" s="221" t="s">
        <v>341</v>
      </c>
      <c r="F108" s="220"/>
      <c r="H108" s="219" t="s">
        <v>339</v>
      </c>
      <c r="I108" s="219" t="s">
        <v>340</v>
      </c>
      <c r="J108" s="220"/>
      <c r="K108" s="221" t="s">
        <v>341</v>
      </c>
      <c r="L108" s="220"/>
      <c r="N108" s="219" t="s">
        <v>339</v>
      </c>
      <c r="O108" s="219" t="s">
        <v>340</v>
      </c>
      <c r="P108" s="220"/>
      <c r="Q108" s="221" t="s">
        <v>341</v>
      </c>
      <c r="R108" s="220"/>
    </row>
    <row r="109" spans="2:23" x14ac:dyDescent="0.3">
      <c r="B109" s="239"/>
      <c r="C109" s="239"/>
      <c r="D109" s="223">
        <f t="shared" ref="D109:D117" si="36">IF(C109="",0,C109-B109+1)</f>
        <v>0</v>
      </c>
      <c r="E109" s="224"/>
      <c r="F109" s="225">
        <f t="shared" ref="F109:F117" si="37">+D109*E109</f>
        <v>0</v>
      </c>
      <c r="H109" s="239"/>
      <c r="I109" s="239"/>
      <c r="J109" s="223">
        <f t="shared" ref="J109:J117" si="38">IF(I109="",0,I109-H109+1)</f>
        <v>0</v>
      </c>
      <c r="K109" s="224"/>
      <c r="L109" s="225">
        <f t="shared" ref="L109:L117" si="39">+J109*K109</f>
        <v>0</v>
      </c>
      <c r="N109" s="239"/>
      <c r="O109" s="239"/>
      <c r="P109" s="223">
        <f t="shared" ref="P109:P117" si="40">IF(O109="",0,O109-N109+1)</f>
        <v>0</v>
      </c>
      <c r="Q109" s="224"/>
      <c r="R109" s="225">
        <f t="shared" ref="R109:R117" si="41">+P109*Q109</f>
        <v>0</v>
      </c>
    </row>
    <row r="110" spans="2:23" x14ac:dyDescent="0.3">
      <c r="B110" s="239"/>
      <c r="C110" s="239"/>
      <c r="D110" s="223">
        <f t="shared" si="36"/>
        <v>0</v>
      </c>
      <c r="E110" s="224"/>
      <c r="F110" s="225">
        <f t="shared" si="37"/>
        <v>0</v>
      </c>
      <c r="H110" s="239"/>
      <c r="I110" s="239"/>
      <c r="J110" s="223">
        <f t="shared" si="38"/>
        <v>0</v>
      </c>
      <c r="K110" s="224"/>
      <c r="L110" s="225">
        <f t="shared" si="39"/>
        <v>0</v>
      </c>
      <c r="N110" s="239"/>
      <c r="O110" s="239"/>
      <c r="P110" s="223">
        <f t="shared" si="40"/>
        <v>0</v>
      </c>
      <c r="Q110" s="224"/>
      <c r="R110" s="225">
        <f t="shared" si="41"/>
        <v>0</v>
      </c>
    </row>
    <row r="111" spans="2:23" x14ac:dyDescent="0.3">
      <c r="B111" s="239"/>
      <c r="C111" s="239"/>
      <c r="D111" s="223">
        <f t="shared" si="36"/>
        <v>0</v>
      </c>
      <c r="E111" s="224"/>
      <c r="F111" s="225">
        <f t="shared" si="37"/>
        <v>0</v>
      </c>
      <c r="H111" s="239"/>
      <c r="I111" s="239"/>
      <c r="J111" s="223">
        <f t="shared" si="38"/>
        <v>0</v>
      </c>
      <c r="K111" s="224"/>
      <c r="L111" s="225">
        <f t="shared" si="39"/>
        <v>0</v>
      </c>
      <c r="N111" s="239"/>
      <c r="O111" s="239"/>
      <c r="P111" s="223">
        <f t="shared" si="40"/>
        <v>0</v>
      </c>
      <c r="Q111" s="224"/>
      <c r="R111" s="225">
        <f t="shared" si="41"/>
        <v>0</v>
      </c>
    </row>
    <row r="112" spans="2:23" x14ac:dyDescent="0.3">
      <c r="B112" s="239"/>
      <c r="C112" s="239"/>
      <c r="D112" s="223">
        <f t="shared" si="36"/>
        <v>0</v>
      </c>
      <c r="E112" s="224"/>
      <c r="F112" s="225">
        <f t="shared" si="37"/>
        <v>0</v>
      </c>
      <c r="H112" s="239"/>
      <c r="I112" s="239"/>
      <c r="J112" s="223">
        <f t="shared" si="38"/>
        <v>0</v>
      </c>
      <c r="K112" s="224"/>
      <c r="L112" s="225">
        <f t="shared" si="39"/>
        <v>0</v>
      </c>
      <c r="N112" s="239"/>
      <c r="O112" s="239"/>
      <c r="P112" s="223">
        <f t="shared" si="40"/>
        <v>0</v>
      </c>
      <c r="Q112" s="224"/>
      <c r="R112" s="225">
        <f t="shared" si="41"/>
        <v>0</v>
      </c>
    </row>
    <row r="113" spans="2:23" x14ac:dyDescent="0.3">
      <c r="B113" s="239"/>
      <c r="C113" s="239"/>
      <c r="D113" s="223">
        <f t="shared" si="36"/>
        <v>0</v>
      </c>
      <c r="E113" s="224"/>
      <c r="F113" s="225">
        <f t="shared" si="37"/>
        <v>0</v>
      </c>
      <c r="H113" s="239"/>
      <c r="I113" s="239"/>
      <c r="J113" s="223">
        <f t="shared" si="38"/>
        <v>0</v>
      </c>
      <c r="K113" s="224"/>
      <c r="L113" s="225">
        <f t="shared" si="39"/>
        <v>0</v>
      </c>
      <c r="N113" s="239"/>
      <c r="O113" s="239"/>
      <c r="P113" s="223">
        <f t="shared" si="40"/>
        <v>0</v>
      </c>
      <c r="Q113" s="224"/>
      <c r="R113" s="225">
        <f t="shared" si="41"/>
        <v>0</v>
      </c>
    </row>
    <row r="114" spans="2:23" x14ac:dyDescent="0.3">
      <c r="B114" s="239"/>
      <c r="C114" s="239"/>
      <c r="D114" s="223">
        <f t="shared" si="36"/>
        <v>0</v>
      </c>
      <c r="E114" s="224"/>
      <c r="F114" s="225">
        <f t="shared" si="37"/>
        <v>0</v>
      </c>
      <c r="H114" s="239"/>
      <c r="I114" s="239"/>
      <c r="J114" s="223">
        <f t="shared" si="38"/>
        <v>0</v>
      </c>
      <c r="K114" s="224"/>
      <c r="L114" s="225">
        <f t="shared" si="39"/>
        <v>0</v>
      </c>
      <c r="N114" s="239"/>
      <c r="O114" s="239"/>
      <c r="P114" s="223">
        <f t="shared" si="40"/>
        <v>0</v>
      </c>
      <c r="Q114" s="224"/>
      <c r="R114" s="225">
        <f t="shared" si="41"/>
        <v>0</v>
      </c>
    </row>
    <row r="115" spans="2:23" x14ac:dyDescent="0.3">
      <c r="B115" s="240"/>
      <c r="C115" s="240"/>
      <c r="D115" s="223">
        <f t="shared" si="36"/>
        <v>0</v>
      </c>
      <c r="E115" s="224"/>
      <c r="F115" s="225">
        <f t="shared" si="37"/>
        <v>0</v>
      </c>
      <c r="H115" s="240"/>
      <c r="I115" s="240"/>
      <c r="J115" s="223">
        <f t="shared" si="38"/>
        <v>0</v>
      </c>
      <c r="K115" s="224"/>
      <c r="L115" s="225">
        <f t="shared" si="39"/>
        <v>0</v>
      </c>
      <c r="N115" s="240"/>
      <c r="O115" s="240"/>
      <c r="P115" s="223">
        <f t="shared" si="40"/>
        <v>0</v>
      </c>
      <c r="Q115" s="224"/>
      <c r="R115" s="225">
        <f t="shared" si="41"/>
        <v>0</v>
      </c>
    </row>
    <row r="116" spans="2:23" x14ac:dyDescent="0.3">
      <c r="B116" s="240"/>
      <c r="C116" s="240"/>
      <c r="D116" s="223">
        <f t="shared" si="36"/>
        <v>0</v>
      </c>
      <c r="E116" s="224"/>
      <c r="F116" s="225">
        <f t="shared" si="37"/>
        <v>0</v>
      </c>
      <c r="H116" s="240"/>
      <c r="I116" s="240"/>
      <c r="J116" s="223">
        <f t="shared" si="38"/>
        <v>0</v>
      </c>
      <c r="K116" s="224"/>
      <c r="L116" s="225">
        <f t="shared" si="39"/>
        <v>0</v>
      </c>
      <c r="N116" s="240"/>
      <c r="O116" s="240"/>
      <c r="P116" s="223">
        <f t="shared" si="40"/>
        <v>0</v>
      </c>
      <c r="Q116" s="224"/>
      <c r="R116" s="225">
        <f t="shared" si="41"/>
        <v>0</v>
      </c>
    </row>
    <row r="117" spans="2:23" x14ac:dyDescent="0.3">
      <c r="B117" s="240"/>
      <c r="C117" s="240"/>
      <c r="D117" s="223">
        <f t="shared" si="36"/>
        <v>0</v>
      </c>
      <c r="E117" s="224"/>
      <c r="F117" s="225">
        <f t="shared" si="37"/>
        <v>0</v>
      </c>
      <c r="H117" s="240"/>
      <c r="I117" s="240"/>
      <c r="J117" s="223">
        <f t="shared" si="38"/>
        <v>0</v>
      </c>
      <c r="K117" s="224"/>
      <c r="L117" s="225">
        <f t="shared" si="39"/>
        <v>0</v>
      </c>
      <c r="N117" s="240"/>
      <c r="O117" s="240"/>
      <c r="P117" s="223">
        <f t="shared" si="40"/>
        <v>0</v>
      </c>
      <c r="Q117" s="224"/>
      <c r="R117" s="225">
        <f t="shared" si="41"/>
        <v>0</v>
      </c>
    </row>
    <row r="118" spans="2:23" ht="4.5" customHeight="1" x14ac:dyDescent="0.3"/>
    <row r="119" spans="2:23" x14ac:dyDescent="0.3">
      <c r="C119" s="227" t="s">
        <v>57</v>
      </c>
      <c r="D119" s="241">
        <f>SUM(D109:D117)</f>
        <v>0</v>
      </c>
      <c r="F119" s="228">
        <f>SUM(F109:F117)</f>
        <v>0</v>
      </c>
      <c r="I119" s="227" t="s">
        <v>57</v>
      </c>
      <c r="J119" s="241">
        <f>SUM(J109:J117)</f>
        <v>0</v>
      </c>
      <c r="L119" s="228">
        <f>SUM(L109:L117)</f>
        <v>0</v>
      </c>
      <c r="O119" s="227" t="s">
        <v>57</v>
      </c>
      <c r="P119" s="241">
        <f>SUM(P109:P117)</f>
        <v>0</v>
      </c>
      <c r="R119" s="228">
        <f>SUM(R109:R117)</f>
        <v>0</v>
      </c>
    </row>
    <row r="120" spans="2:23" ht="3.75" customHeight="1" x14ac:dyDescent="0.3"/>
    <row r="121" spans="2:23" x14ac:dyDescent="0.3">
      <c r="E121" s="229" t="s">
        <v>56</v>
      </c>
      <c r="F121" s="230">
        <f>IF(D119=0,0,F119/D119)</f>
        <v>0</v>
      </c>
      <c r="K121" s="229" t="s">
        <v>56</v>
      </c>
      <c r="L121" s="230">
        <f>IF(J119=0,0,L119/J119)</f>
        <v>0</v>
      </c>
      <c r="Q121" s="229" t="s">
        <v>56</v>
      </c>
      <c r="R121" s="230">
        <f>IF(P119=0,0,R119/P119)</f>
        <v>0</v>
      </c>
    </row>
    <row r="123" spans="2:23" x14ac:dyDescent="0.3">
      <c r="B123" s="238" t="s">
        <v>346</v>
      </c>
      <c r="C123" s="959"/>
      <c r="D123" s="959"/>
      <c r="E123" s="959"/>
      <c r="F123" s="959"/>
      <c r="H123" s="238" t="s">
        <v>346</v>
      </c>
      <c r="I123" s="959"/>
      <c r="J123" s="959"/>
      <c r="K123" s="959"/>
      <c r="L123" s="959"/>
      <c r="N123" s="238" t="s">
        <v>346</v>
      </c>
      <c r="O123" s="959"/>
      <c r="P123" s="959"/>
      <c r="Q123" s="959"/>
      <c r="R123" s="959"/>
      <c r="U123" s="225" t="str">
        <f>IF(C123&gt;"",C123,"")</f>
        <v/>
      </c>
      <c r="V123" s="225" t="str">
        <f>IF(I123&gt;"",I123,"")</f>
        <v/>
      </c>
      <c r="W123" s="225" t="str">
        <f>IF(O123&gt;"",O123,"")</f>
        <v/>
      </c>
    </row>
    <row r="124" spans="2:23" ht="4.5" customHeight="1" x14ac:dyDescent="0.3"/>
    <row r="125" spans="2:23" x14ac:dyDescent="0.3">
      <c r="B125" s="219" t="s">
        <v>339</v>
      </c>
      <c r="C125" s="219" t="s">
        <v>340</v>
      </c>
      <c r="D125" s="220"/>
      <c r="E125" s="221" t="s">
        <v>341</v>
      </c>
      <c r="F125" s="220"/>
      <c r="H125" s="219" t="s">
        <v>339</v>
      </c>
      <c r="I125" s="219" t="s">
        <v>340</v>
      </c>
      <c r="J125" s="220"/>
      <c r="K125" s="221" t="s">
        <v>341</v>
      </c>
      <c r="L125" s="220"/>
      <c r="N125" s="219" t="s">
        <v>339</v>
      </c>
      <c r="O125" s="219" t="s">
        <v>340</v>
      </c>
      <c r="P125" s="220"/>
      <c r="Q125" s="221" t="s">
        <v>341</v>
      </c>
      <c r="R125" s="220"/>
    </row>
    <row r="126" spans="2:23" x14ac:dyDescent="0.3">
      <c r="B126" s="239"/>
      <c r="C126" s="239"/>
      <c r="D126" s="223">
        <f t="shared" ref="D126:D134" si="42">IF(C126="",0,C126-B126+1)</f>
        <v>0</v>
      </c>
      <c r="E126" s="224"/>
      <c r="F126" s="225">
        <f t="shared" ref="F126:F134" si="43">+D126*E126</f>
        <v>0</v>
      </c>
      <c r="H126" s="239"/>
      <c r="I126" s="239"/>
      <c r="J126" s="223">
        <f t="shared" ref="J126:J134" si="44">IF(I126="",0,I126-H126+1)</f>
        <v>0</v>
      </c>
      <c r="K126" s="224"/>
      <c r="L126" s="225">
        <f t="shared" ref="L126:L134" si="45">+J126*K126</f>
        <v>0</v>
      </c>
      <c r="N126" s="239"/>
      <c r="O126" s="239"/>
      <c r="P126" s="223">
        <f t="shared" ref="P126:P134" si="46">IF(O126="",0,O126-N126+1)</f>
        <v>0</v>
      </c>
      <c r="Q126" s="224"/>
      <c r="R126" s="225">
        <f t="shared" ref="R126:R134" si="47">+P126*Q126</f>
        <v>0</v>
      </c>
    </row>
    <row r="127" spans="2:23" x14ac:dyDescent="0.3">
      <c r="B127" s="239"/>
      <c r="C127" s="239"/>
      <c r="D127" s="223">
        <f t="shared" si="42"/>
        <v>0</v>
      </c>
      <c r="E127" s="224"/>
      <c r="F127" s="225">
        <f t="shared" si="43"/>
        <v>0</v>
      </c>
      <c r="H127" s="239"/>
      <c r="I127" s="239"/>
      <c r="J127" s="223">
        <f t="shared" si="44"/>
        <v>0</v>
      </c>
      <c r="K127" s="224"/>
      <c r="L127" s="225">
        <f t="shared" si="45"/>
        <v>0</v>
      </c>
      <c r="N127" s="239"/>
      <c r="O127" s="239"/>
      <c r="P127" s="223">
        <f t="shared" si="46"/>
        <v>0</v>
      </c>
      <c r="Q127" s="224"/>
      <c r="R127" s="225">
        <f t="shared" si="47"/>
        <v>0</v>
      </c>
    </row>
    <row r="128" spans="2:23" x14ac:dyDescent="0.3">
      <c r="B128" s="239"/>
      <c r="C128" s="239"/>
      <c r="D128" s="223">
        <f t="shared" si="42"/>
        <v>0</v>
      </c>
      <c r="E128" s="224"/>
      <c r="F128" s="225">
        <f t="shared" si="43"/>
        <v>0</v>
      </c>
      <c r="H128" s="239"/>
      <c r="I128" s="239"/>
      <c r="J128" s="223">
        <f t="shared" si="44"/>
        <v>0</v>
      </c>
      <c r="K128" s="224"/>
      <c r="L128" s="225">
        <f t="shared" si="45"/>
        <v>0</v>
      </c>
      <c r="N128" s="239"/>
      <c r="O128" s="239"/>
      <c r="P128" s="223">
        <f t="shared" si="46"/>
        <v>0</v>
      </c>
      <c r="Q128" s="224"/>
      <c r="R128" s="225">
        <f t="shared" si="47"/>
        <v>0</v>
      </c>
    </row>
    <row r="129" spans="2:23" x14ac:dyDescent="0.3">
      <c r="B129" s="239"/>
      <c r="C129" s="239"/>
      <c r="D129" s="223">
        <f t="shared" si="42"/>
        <v>0</v>
      </c>
      <c r="E129" s="224"/>
      <c r="F129" s="225">
        <f t="shared" si="43"/>
        <v>0</v>
      </c>
      <c r="H129" s="239"/>
      <c r="I129" s="239"/>
      <c r="J129" s="223">
        <f t="shared" si="44"/>
        <v>0</v>
      </c>
      <c r="K129" s="224"/>
      <c r="L129" s="225">
        <f t="shared" si="45"/>
        <v>0</v>
      </c>
      <c r="N129" s="239"/>
      <c r="O129" s="239"/>
      <c r="P129" s="223">
        <f t="shared" si="46"/>
        <v>0</v>
      </c>
      <c r="Q129" s="224"/>
      <c r="R129" s="225">
        <f t="shared" si="47"/>
        <v>0</v>
      </c>
    </row>
    <row r="130" spans="2:23" x14ac:dyDescent="0.3">
      <c r="B130" s="239"/>
      <c r="C130" s="239"/>
      <c r="D130" s="223">
        <f t="shared" si="42"/>
        <v>0</v>
      </c>
      <c r="E130" s="224"/>
      <c r="F130" s="225">
        <f t="shared" si="43"/>
        <v>0</v>
      </c>
      <c r="H130" s="239"/>
      <c r="I130" s="239"/>
      <c r="J130" s="223">
        <f t="shared" si="44"/>
        <v>0</v>
      </c>
      <c r="K130" s="224"/>
      <c r="L130" s="225">
        <f t="shared" si="45"/>
        <v>0</v>
      </c>
      <c r="N130" s="239"/>
      <c r="O130" s="239"/>
      <c r="P130" s="223">
        <f t="shared" si="46"/>
        <v>0</v>
      </c>
      <c r="Q130" s="224"/>
      <c r="R130" s="225">
        <f t="shared" si="47"/>
        <v>0</v>
      </c>
    </row>
    <row r="131" spans="2:23" x14ac:dyDescent="0.3">
      <c r="B131" s="239"/>
      <c r="C131" s="239"/>
      <c r="D131" s="223">
        <f t="shared" si="42"/>
        <v>0</v>
      </c>
      <c r="E131" s="224"/>
      <c r="F131" s="225">
        <f t="shared" si="43"/>
        <v>0</v>
      </c>
      <c r="H131" s="239"/>
      <c r="I131" s="239"/>
      <c r="J131" s="223">
        <f t="shared" si="44"/>
        <v>0</v>
      </c>
      <c r="K131" s="224"/>
      <c r="L131" s="225">
        <f t="shared" si="45"/>
        <v>0</v>
      </c>
      <c r="N131" s="239"/>
      <c r="O131" s="239"/>
      <c r="P131" s="223">
        <f t="shared" si="46"/>
        <v>0</v>
      </c>
      <c r="Q131" s="224"/>
      <c r="R131" s="225">
        <f t="shared" si="47"/>
        <v>0</v>
      </c>
    </row>
    <row r="132" spans="2:23" x14ac:dyDescent="0.3">
      <c r="B132" s="240"/>
      <c r="C132" s="240"/>
      <c r="D132" s="223">
        <f t="shared" si="42"/>
        <v>0</v>
      </c>
      <c r="E132" s="224"/>
      <c r="F132" s="225">
        <f t="shared" si="43"/>
        <v>0</v>
      </c>
      <c r="H132" s="240"/>
      <c r="I132" s="240"/>
      <c r="J132" s="223">
        <f t="shared" si="44"/>
        <v>0</v>
      </c>
      <c r="K132" s="224"/>
      <c r="L132" s="225">
        <f t="shared" si="45"/>
        <v>0</v>
      </c>
      <c r="N132" s="240"/>
      <c r="O132" s="240"/>
      <c r="P132" s="223">
        <f t="shared" si="46"/>
        <v>0</v>
      </c>
      <c r="Q132" s="224"/>
      <c r="R132" s="225">
        <f t="shared" si="47"/>
        <v>0</v>
      </c>
    </row>
    <row r="133" spans="2:23" x14ac:dyDescent="0.3">
      <c r="B133" s="240"/>
      <c r="C133" s="240"/>
      <c r="D133" s="223">
        <f t="shared" si="42"/>
        <v>0</v>
      </c>
      <c r="E133" s="224"/>
      <c r="F133" s="225">
        <f t="shared" si="43"/>
        <v>0</v>
      </c>
      <c r="H133" s="240"/>
      <c r="I133" s="240"/>
      <c r="J133" s="223">
        <f t="shared" si="44"/>
        <v>0</v>
      </c>
      <c r="K133" s="224"/>
      <c r="L133" s="225">
        <f t="shared" si="45"/>
        <v>0</v>
      </c>
      <c r="N133" s="240"/>
      <c r="O133" s="240"/>
      <c r="P133" s="223">
        <f t="shared" si="46"/>
        <v>0</v>
      </c>
      <c r="Q133" s="224"/>
      <c r="R133" s="225">
        <f t="shared" si="47"/>
        <v>0</v>
      </c>
    </row>
    <row r="134" spans="2:23" x14ac:dyDescent="0.3">
      <c r="B134" s="240"/>
      <c r="C134" s="240"/>
      <c r="D134" s="223">
        <f t="shared" si="42"/>
        <v>0</v>
      </c>
      <c r="E134" s="224"/>
      <c r="F134" s="225">
        <f t="shared" si="43"/>
        <v>0</v>
      </c>
      <c r="H134" s="240"/>
      <c r="I134" s="240"/>
      <c r="J134" s="223">
        <f t="shared" si="44"/>
        <v>0</v>
      </c>
      <c r="K134" s="224"/>
      <c r="L134" s="225">
        <f t="shared" si="45"/>
        <v>0</v>
      </c>
      <c r="N134" s="240"/>
      <c r="O134" s="240"/>
      <c r="P134" s="223">
        <f t="shared" si="46"/>
        <v>0</v>
      </c>
      <c r="Q134" s="224"/>
      <c r="R134" s="225">
        <f t="shared" si="47"/>
        <v>0</v>
      </c>
    </row>
    <row r="135" spans="2:23" ht="4.5" customHeight="1" x14ac:dyDescent="0.3"/>
    <row r="136" spans="2:23" x14ac:dyDescent="0.3">
      <c r="C136" s="227" t="s">
        <v>57</v>
      </c>
      <c r="D136" s="241">
        <f>SUM(D126:D134)</f>
        <v>0</v>
      </c>
      <c r="F136" s="228">
        <f>SUM(F126:F134)</f>
        <v>0</v>
      </c>
      <c r="I136" s="227" t="s">
        <v>57</v>
      </c>
      <c r="J136" s="241">
        <f>SUM(J126:J134)</f>
        <v>0</v>
      </c>
      <c r="L136" s="228">
        <f>SUM(L126:L134)</f>
        <v>0</v>
      </c>
      <c r="O136" s="227" t="s">
        <v>57</v>
      </c>
      <c r="P136" s="241">
        <f>SUM(P126:P134)</f>
        <v>0</v>
      </c>
      <c r="R136" s="228">
        <f>SUM(R126:R134)</f>
        <v>0</v>
      </c>
    </row>
    <row r="137" spans="2:23" ht="3.75" customHeight="1" x14ac:dyDescent="0.3"/>
    <row r="138" spans="2:23" x14ac:dyDescent="0.3">
      <c r="E138" s="229" t="s">
        <v>56</v>
      </c>
      <c r="F138" s="230">
        <f>IF(D136=0,0,F136/D136)</f>
        <v>0</v>
      </c>
      <c r="K138" s="229" t="s">
        <v>56</v>
      </c>
      <c r="L138" s="230">
        <f>IF(J136=0,0,L136/J136)</f>
        <v>0</v>
      </c>
      <c r="Q138" s="229" t="s">
        <v>56</v>
      </c>
      <c r="R138" s="230">
        <f>IF(P136=0,0,R136/P136)</f>
        <v>0</v>
      </c>
    </row>
    <row r="140" spans="2:23" x14ac:dyDescent="0.3">
      <c r="B140" s="238" t="s">
        <v>346</v>
      </c>
      <c r="C140" s="959"/>
      <c r="D140" s="959"/>
      <c r="E140" s="959"/>
      <c r="F140" s="959"/>
      <c r="H140" s="238" t="s">
        <v>346</v>
      </c>
      <c r="I140" s="959"/>
      <c r="J140" s="959"/>
      <c r="K140" s="959"/>
      <c r="L140" s="959"/>
      <c r="N140" s="238" t="s">
        <v>346</v>
      </c>
      <c r="O140" s="959"/>
      <c r="P140" s="959"/>
      <c r="Q140" s="959"/>
      <c r="R140" s="959"/>
      <c r="U140" s="225" t="str">
        <f>IF(C140&gt;"",C140,"")</f>
        <v/>
      </c>
      <c r="V140" s="225" t="str">
        <f>IF(I140&gt;"",I140,"")</f>
        <v/>
      </c>
      <c r="W140" s="225" t="str">
        <f>IF(O140&gt;"",O140,"")</f>
        <v/>
      </c>
    </row>
    <row r="141" spans="2:23" ht="4.5" customHeight="1" x14ac:dyDescent="0.3"/>
    <row r="142" spans="2:23" x14ac:dyDescent="0.3">
      <c r="B142" s="219" t="s">
        <v>339</v>
      </c>
      <c r="C142" s="219" t="s">
        <v>340</v>
      </c>
      <c r="D142" s="220"/>
      <c r="E142" s="221" t="s">
        <v>341</v>
      </c>
      <c r="F142" s="220"/>
      <c r="H142" s="219" t="s">
        <v>339</v>
      </c>
      <c r="I142" s="219" t="s">
        <v>340</v>
      </c>
      <c r="J142" s="220"/>
      <c r="K142" s="221" t="s">
        <v>341</v>
      </c>
      <c r="L142" s="220"/>
      <c r="N142" s="219" t="s">
        <v>339</v>
      </c>
      <c r="O142" s="219" t="s">
        <v>340</v>
      </c>
      <c r="P142" s="220"/>
      <c r="Q142" s="221" t="s">
        <v>341</v>
      </c>
      <c r="R142" s="220"/>
    </row>
    <row r="143" spans="2:23" x14ac:dyDescent="0.3">
      <c r="B143" s="239"/>
      <c r="C143" s="239"/>
      <c r="D143" s="223">
        <f t="shared" ref="D143:D151" si="48">IF(C143="",0,C143-B143+1)</f>
        <v>0</v>
      </c>
      <c r="E143" s="224"/>
      <c r="F143" s="225">
        <f t="shared" ref="F143:F151" si="49">+D143*E143</f>
        <v>0</v>
      </c>
      <c r="H143" s="239"/>
      <c r="I143" s="239"/>
      <c r="J143" s="223">
        <f t="shared" ref="J143:J151" si="50">IF(I143="",0,I143-H143+1)</f>
        <v>0</v>
      </c>
      <c r="K143" s="224"/>
      <c r="L143" s="225">
        <f t="shared" ref="L143:L151" si="51">+J143*K143</f>
        <v>0</v>
      </c>
      <c r="N143" s="239"/>
      <c r="O143" s="239"/>
      <c r="P143" s="223">
        <f t="shared" ref="P143:P151" si="52">IF(O143="",0,O143-N143+1)</f>
        <v>0</v>
      </c>
      <c r="Q143" s="224"/>
      <c r="R143" s="225">
        <f t="shared" ref="R143:R151" si="53">+P143*Q143</f>
        <v>0</v>
      </c>
    </row>
    <row r="144" spans="2:23" x14ac:dyDescent="0.3">
      <c r="B144" s="239"/>
      <c r="C144" s="239"/>
      <c r="D144" s="223">
        <f t="shared" si="48"/>
        <v>0</v>
      </c>
      <c r="E144" s="224"/>
      <c r="F144" s="225">
        <f t="shared" si="49"/>
        <v>0</v>
      </c>
      <c r="H144" s="239"/>
      <c r="I144" s="239"/>
      <c r="J144" s="223">
        <f t="shared" si="50"/>
        <v>0</v>
      </c>
      <c r="K144" s="224"/>
      <c r="L144" s="225">
        <f t="shared" si="51"/>
        <v>0</v>
      </c>
      <c r="N144" s="239"/>
      <c r="O144" s="239"/>
      <c r="P144" s="223">
        <f t="shared" si="52"/>
        <v>0</v>
      </c>
      <c r="Q144" s="224"/>
      <c r="R144" s="225">
        <f t="shared" si="53"/>
        <v>0</v>
      </c>
    </row>
    <row r="145" spans="2:23" x14ac:dyDescent="0.3">
      <c r="B145" s="239"/>
      <c r="C145" s="239"/>
      <c r="D145" s="223">
        <f t="shared" si="48"/>
        <v>0</v>
      </c>
      <c r="E145" s="224"/>
      <c r="F145" s="225">
        <f t="shared" si="49"/>
        <v>0</v>
      </c>
      <c r="H145" s="239"/>
      <c r="I145" s="239"/>
      <c r="J145" s="223">
        <f t="shared" si="50"/>
        <v>0</v>
      </c>
      <c r="K145" s="224"/>
      <c r="L145" s="225">
        <f t="shared" si="51"/>
        <v>0</v>
      </c>
      <c r="N145" s="239"/>
      <c r="O145" s="239"/>
      <c r="P145" s="223">
        <f t="shared" si="52"/>
        <v>0</v>
      </c>
      <c r="Q145" s="224"/>
      <c r="R145" s="225">
        <f t="shared" si="53"/>
        <v>0</v>
      </c>
    </row>
    <row r="146" spans="2:23" x14ac:dyDescent="0.3">
      <c r="B146" s="239"/>
      <c r="C146" s="239"/>
      <c r="D146" s="223">
        <f t="shared" si="48"/>
        <v>0</v>
      </c>
      <c r="E146" s="224"/>
      <c r="F146" s="225">
        <f t="shared" si="49"/>
        <v>0</v>
      </c>
      <c r="H146" s="239"/>
      <c r="I146" s="239"/>
      <c r="J146" s="223">
        <f t="shared" si="50"/>
        <v>0</v>
      </c>
      <c r="K146" s="224"/>
      <c r="L146" s="225">
        <f t="shared" si="51"/>
        <v>0</v>
      </c>
      <c r="N146" s="239"/>
      <c r="O146" s="239"/>
      <c r="P146" s="223">
        <f t="shared" si="52"/>
        <v>0</v>
      </c>
      <c r="Q146" s="224"/>
      <c r="R146" s="225">
        <f t="shared" si="53"/>
        <v>0</v>
      </c>
    </row>
    <row r="147" spans="2:23" x14ac:dyDescent="0.3">
      <c r="B147" s="239"/>
      <c r="C147" s="239"/>
      <c r="D147" s="223">
        <f t="shared" si="48"/>
        <v>0</v>
      </c>
      <c r="E147" s="224"/>
      <c r="F147" s="225">
        <f t="shared" si="49"/>
        <v>0</v>
      </c>
      <c r="H147" s="239"/>
      <c r="I147" s="239"/>
      <c r="J147" s="223">
        <f t="shared" si="50"/>
        <v>0</v>
      </c>
      <c r="K147" s="224"/>
      <c r="L147" s="225">
        <f t="shared" si="51"/>
        <v>0</v>
      </c>
      <c r="N147" s="239"/>
      <c r="O147" s="239"/>
      <c r="P147" s="223">
        <f t="shared" si="52"/>
        <v>0</v>
      </c>
      <c r="Q147" s="224"/>
      <c r="R147" s="225">
        <f t="shared" si="53"/>
        <v>0</v>
      </c>
    </row>
    <row r="148" spans="2:23" x14ac:dyDescent="0.3">
      <c r="B148" s="239"/>
      <c r="C148" s="239"/>
      <c r="D148" s="223">
        <f t="shared" si="48"/>
        <v>0</v>
      </c>
      <c r="E148" s="224"/>
      <c r="F148" s="225">
        <f t="shared" si="49"/>
        <v>0</v>
      </c>
      <c r="H148" s="239"/>
      <c r="I148" s="239"/>
      <c r="J148" s="223">
        <f t="shared" si="50"/>
        <v>0</v>
      </c>
      <c r="K148" s="224"/>
      <c r="L148" s="225">
        <f t="shared" si="51"/>
        <v>0</v>
      </c>
      <c r="N148" s="239"/>
      <c r="O148" s="239"/>
      <c r="P148" s="223">
        <f t="shared" si="52"/>
        <v>0</v>
      </c>
      <c r="Q148" s="224"/>
      <c r="R148" s="225">
        <f t="shared" si="53"/>
        <v>0</v>
      </c>
    </row>
    <row r="149" spans="2:23" x14ac:dyDescent="0.3">
      <c r="B149" s="240"/>
      <c r="C149" s="240"/>
      <c r="D149" s="223">
        <f t="shared" si="48"/>
        <v>0</v>
      </c>
      <c r="E149" s="224"/>
      <c r="F149" s="225">
        <f t="shared" si="49"/>
        <v>0</v>
      </c>
      <c r="H149" s="240"/>
      <c r="I149" s="240"/>
      <c r="J149" s="223">
        <f t="shared" si="50"/>
        <v>0</v>
      </c>
      <c r="K149" s="224"/>
      <c r="L149" s="225">
        <f t="shared" si="51"/>
        <v>0</v>
      </c>
      <c r="N149" s="240"/>
      <c r="O149" s="240"/>
      <c r="P149" s="223">
        <f t="shared" si="52"/>
        <v>0</v>
      </c>
      <c r="Q149" s="224"/>
      <c r="R149" s="225">
        <f t="shared" si="53"/>
        <v>0</v>
      </c>
    </row>
    <row r="150" spans="2:23" x14ac:dyDescent="0.3">
      <c r="B150" s="240"/>
      <c r="C150" s="240"/>
      <c r="D150" s="223">
        <f t="shared" si="48"/>
        <v>0</v>
      </c>
      <c r="E150" s="224"/>
      <c r="F150" s="225">
        <f t="shared" si="49"/>
        <v>0</v>
      </c>
      <c r="H150" s="240"/>
      <c r="I150" s="240"/>
      <c r="J150" s="223">
        <f t="shared" si="50"/>
        <v>0</v>
      </c>
      <c r="K150" s="224"/>
      <c r="L150" s="225">
        <f t="shared" si="51"/>
        <v>0</v>
      </c>
      <c r="N150" s="240"/>
      <c r="O150" s="240"/>
      <c r="P150" s="223">
        <f t="shared" si="52"/>
        <v>0</v>
      </c>
      <c r="Q150" s="224"/>
      <c r="R150" s="225">
        <f t="shared" si="53"/>
        <v>0</v>
      </c>
    </row>
    <row r="151" spans="2:23" x14ac:dyDescent="0.3">
      <c r="B151" s="240"/>
      <c r="C151" s="240"/>
      <c r="D151" s="223">
        <f t="shared" si="48"/>
        <v>0</v>
      </c>
      <c r="E151" s="224"/>
      <c r="F151" s="225">
        <f t="shared" si="49"/>
        <v>0</v>
      </c>
      <c r="H151" s="240"/>
      <c r="I151" s="240"/>
      <c r="J151" s="223">
        <f t="shared" si="50"/>
        <v>0</v>
      </c>
      <c r="K151" s="224"/>
      <c r="L151" s="225">
        <f t="shared" si="51"/>
        <v>0</v>
      </c>
      <c r="N151" s="240"/>
      <c r="O151" s="240"/>
      <c r="P151" s="223">
        <f t="shared" si="52"/>
        <v>0</v>
      </c>
      <c r="Q151" s="224"/>
      <c r="R151" s="225">
        <f t="shared" si="53"/>
        <v>0</v>
      </c>
    </row>
    <row r="152" spans="2:23" ht="4.5" customHeight="1" x14ac:dyDescent="0.3"/>
    <row r="153" spans="2:23" x14ac:dyDescent="0.3">
      <c r="C153" s="227" t="s">
        <v>57</v>
      </c>
      <c r="D153" s="241">
        <f>SUM(D143:D151)</f>
        <v>0</v>
      </c>
      <c r="F153" s="228">
        <f>SUM(F143:F151)</f>
        <v>0</v>
      </c>
      <c r="I153" s="227" t="s">
        <v>57</v>
      </c>
      <c r="J153" s="241">
        <f>SUM(J143:J151)</f>
        <v>0</v>
      </c>
      <c r="L153" s="228">
        <f>SUM(L143:L151)</f>
        <v>0</v>
      </c>
      <c r="O153" s="227" t="s">
        <v>57</v>
      </c>
      <c r="P153" s="241">
        <f>SUM(P143:P151)</f>
        <v>0</v>
      </c>
      <c r="R153" s="228">
        <f>SUM(R143:R151)</f>
        <v>0</v>
      </c>
    </row>
    <row r="154" spans="2:23" ht="3.75" customHeight="1" x14ac:dyDescent="0.3"/>
    <row r="155" spans="2:23" x14ac:dyDescent="0.3">
      <c r="E155" s="229" t="s">
        <v>56</v>
      </c>
      <c r="F155" s="230">
        <f>IF(D153=0,0,F153/D153)</f>
        <v>0</v>
      </c>
      <c r="K155" s="229" t="s">
        <v>56</v>
      </c>
      <c r="L155" s="230">
        <f>IF(J153=0,0,L153/J153)</f>
        <v>0</v>
      </c>
      <c r="Q155" s="229" t="s">
        <v>56</v>
      </c>
      <c r="R155" s="230">
        <f>IF(P153=0,0,R153/P153)</f>
        <v>0</v>
      </c>
    </row>
    <row r="157" spans="2:23" x14ac:dyDescent="0.3">
      <c r="B157" s="238" t="s">
        <v>346</v>
      </c>
      <c r="C157" s="959"/>
      <c r="D157" s="959"/>
      <c r="E157" s="959"/>
      <c r="F157" s="959"/>
      <c r="H157" s="238" t="s">
        <v>346</v>
      </c>
      <c r="I157" s="959"/>
      <c r="J157" s="959"/>
      <c r="K157" s="959"/>
      <c r="L157" s="959"/>
      <c r="N157" s="238" t="s">
        <v>346</v>
      </c>
      <c r="O157" s="959"/>
      <c r="P157" s="959"/>
      <c r="Q157" s="959"/>
      <c r="R157" s="959"/>
      <c r="U157" s="225" t="str">
        <f>IF(C157&gt;"",C157,"")</f>
        <v/>
      </c>
      <c r="V157" s="225" t="str">
        <f>IF(I157&gt;"",I157,"")</f>
        <v/>
      </c>
      <c r="W157" s="225" t="str">
        <f>IF(O157&gt;"",O157,"")</f>
        <v/>
      </c>
    </row>
    <row r="158" spans="2:23" ht="4.5" customHeight="1" x14ac:dyDescent="0.3"/>
    <row r="159" spans="2:23" x14ac:dyDescent="0.3">
      <c r="B159" s="219" t="s">
        <v>339</v>
      </c>
      <c r="C159" s="219" t="s">
        <v>340</v>
      </c>
      <c r="D159" s="220"/>
      <c r="E159" s="221" t="s">
        <v>341</v>
      </c>
      <c r="F159" s="220"/>
      <c r="H159" s="219" t="s">
        <v>339</v>
      </c>
      <c r="I159" s="219" t="s">
        <v>340</v>
      </c>
      <c r="J159" s="220"/>
      <c r="K159" s="221" t="s">
        <v>341</v>
      </c>
      <c r="L159" s="220"/>
      <c r="N159" s="219" t="s">
        <v>339</v>
      </c>
      <c r="O159" s="219" t="s">
        <v>340</v>
      </c>
      <c r="P159" s="220"/>
      <c r="Q159" s="221" t="s">
        <v>341</v>
      </c>
      <c r="R159" s="220"/>
    </row>
    <row r="160" spans="2:23" x14ac:dyDescent="0.3">
      <c r="B160" s="239"/>
      <c r="C160" s="239"/>
      <c r="D160" s="223">
        <f t="shared" ref="D160:D168" si="54">IF(C160="",0,C160-B160+1)</f>
        <v>0</v>
      </c>
      <c r="E160" s="224"/>
      <c r="F160" s="225">
        <f t="shared" ref="F160:F168" si="55">+D160*E160</f>
        <v>0</v>
      </c>
      <c r="H160" s="239"/>
      <c r="I160" s="239"/>
      <c r="J160" s="223">
        <f t="shared" ref="J160:J168" si="56">IF(I160="",0,I160-H160+1)</f>
        <v>0</v>
      </c>
      <c r="K160" s="224"/>
      <c r="L160" s="225">
        <f t="shared" ref="L160:L168" si="57">+J160*K160</f>
        <v>0</v>
      </c>
      <c r="N160" s="239"/>
      <c r="O160" s="239"/>
      <c r="P160" s="223">
        <f t="shared" ref="P160:P168" si="58">IF(O160="",0,O160-N160+1)</f>
        <v>0</v>
      </c>
      <c r="Q160" s="224"/>
      <c r="R160" s="225">
        <f t="shared" ref="R160:R168" si="59">+P160*Q160</f>
        <v>0</v>
      </c>
    </row>
    <row r="161" spans="2:23" x14ac:dyDescent="0.3">
      <c r="B161" s="239"/>
      <c r="C161" s="239"/>
      <c r="D161" s="223">
        <f t="shared" si="54"/>
        <v>0</v>
      </c>
      <c r="E161" s="224"/>
      <c r="F161" s="225">
        <f t="shared" si="55"/>
        <v>0</v>
      </c>
      <c r="H161" s="239"/>
      <c r="I161" s="239"/>
      <c r="J161" s="223">
        <f t="shared" si="56"/>
        <v>0</v>
      </c>
      <c r="K161" s="224"/>
      <c r="L161" s="225">
        <f t="shared" si="57"/>
        <v>0</v>
      </c>
      <c r="N161" s="239"/>
      <c r="O161" s="239"/>
      <c r="P161" s="223">
        <f t="shared" si="58"/>
        <v>0</v>
      </c>
      <c r="Q161" s="224"/>
      <c r="R161" s="225">
        <f t="shared" si="59"/>
        <v>0</v>
      </c>
    </row>
    <row r="162" spans="2:23" x14ac:dyDescent="0.3">
      <c r="B162" s="239"/>
      <c r="C162" s="239"/>
      <c r="D162" s="223">
        <f t="shared" si="54"/>
        <v>0</v>
      </c>
      <c r="E162" s="224"/>
      <c r="F162" s="225">
        <f t="shared" si="55"/>
        <v>0</v>
      </c>
      <c r="H162" s="239"/>
      <c r="I162" s="239"/>
      <c r="J162" s="223">
        <f t="shared" si="56"/>
        <v>0</v>
      </c>
      <c r="K162" s="224"/>
      <c r="L162" s="225">
        <f t="shared" si="57"/>
        <v>0</v>
      </c>
      <c r="N162" s="239"/>
      <c r="O162" s="239"/>
      <c r="P162" s="223">
        <f t="shared" si="58"/>
        <v>0</v>
      </c>
      <c r="Q162" s="224"/>
      <c r="R162" s="225">
        <f t="shared" si="59"/>
        <v>0</v>
      </c>
    </row>
    <row r="163" spans="2:23" x14ac:dyDescent="0.3">
      <c r="B163" s="239"/>
      <c r="C163" s="239"/>
      <c r="D163" s="223">
        <f t="shared" si="54"/>
        <v>0</v>
      </c>
      <c r="E163" s="224"/>
      <c r="F163" s="225">
        <f t="shared" si="55"/>
        <v>0</v>
      </c>
      <c r="H163" s="239"/>
      <c r="I163" s="239"/>
      <c r="J163" s="223">
        <f t="shared" si="56"/>
        <v>0</v>
      </c>
      <c r="K163" s="224"/>
      <c r="L163" s="225">
        <f t="shared" si="57"/>
        <v>0</v>
      </c>
      <c r="N163" s="239"/>
      <c r="O163" s="239"/>
      <c r="P163" s="223">
        <f t="shared" si="58"/>
        <v>0</v>
      </c>
      <c r="Q163" s="224"/>
      <c r="R163" s="225">
        <f t="shared" si="59"/>
        <v>0</v>
      </c>
    </row>
    <row r="164" spans="2:23" x14ac:dyDescent="0.3">
      <c r="B164" s="239"/>
      <c r="C164" s="239"/>
      <c r="D164" s="223">
        <f t="shared" si="54"/>
        <v>0</v>
      </c>
      <c r="E164" s="224"/>
      <c r="F164" s="225">
        <f t="shared" si="55"/>
        <v>0</v>
      </c>
      <c r="H164" s="239"/>
      <c r="I164" s="239"/>
      <c r="J164" s="223">
        <f t="shared" si="56"/>
        <v>0</v>
      </c>
      <c r="K164" s="224"/>
      <c r="L164" s="225">
        <f t="shared" si="57"/>
        <v>0</v>
      </c>
      <c r="N164" s="239"/>
      <c r="O164" s="239"/>
      <c r="P164" s="223">
        <f t="shared" si="58"/>
        <v>0</v>
      </c>
      <c r="Q164" s="224"/>
      <c r="R164" s="225">
        <f t="shared" si="59"/>
        <v>0</v>
      </c>
    </row>
    <row r="165" spans="2:23" x14ac:dyDescent="0.3">
      <c r="B165" s="239"/>
      <c r="C165" s="239"/>
      <c r="D165" s="223">
        <f t="shared" si="54"/>
        <v>0</v>
      </c>
      <c r="E165" s="224"/>
      <c r="F165" s="225">
        <f t="shared" si="55"/>
        <v>0</v>
      </c>
      <c r="H165" s="239"/>
      <c r="I165" s="239"/>
      <c r="J165" s="223">
        <f t="shared" si="56"/>
        <v>0</v>
      </c>
      <c r="K165" s="224"/>
      <c r="L165" s="225">
        <f t="shared" si="57"/>
        <v>0</v>
      </c>
      <c r="N165" s="239"/>
      <c r="O165" s="239"/>
      <c r="P165" s="223">
        <f t="shared" si="58"/>
        <v>0</v>
      </c>
      <c r="Q165" s="224"/>
      <c r="R165" s="225">
        <f t="shared" si="59"/>
        <v>0</v>
      </c>
    </row>
    <row r="166" spans="2:23" x14ac:dyDescent="0.3">
      <c r="B166" s="240"/>
      <c r="C166" s="240"/>
      <c r="D166" s="223">
        <f t="shared" si="54"/>
        <v>0</v>
      </c>
      <c r="E166" s="224"/>
      <c r="F166" s="225">
        <f t="shared" si="55"/>
        <v>0</v>
      </c>
      <c r="H166" s="240"/>
      <c r="I166" s="240"/>
      <c r="J166" s="223">
        <f t="shared" si="56"/>
        <v>0</v>
      </c>
      <c r="K166" s="224"/>
      <c r="L166" s="225">
        <f t="shared" si="57"/>
        <v>0</v>
      </c>
      <c r="N166" s="240"/>
      <c r="O166" s="240"/>
      <c r="P166" s="223">
        <f t="shared" si="58"/>
        <v>0</v>
      </c>
      <c r="Q166" s="224"/>
      <c r="R166" s="225">
        <f t="shared" si="59"/>
        <v>0</v>
      </c>
    </row>
    <row r="167" spans="2:23" x14ac:dyDescent="0.3">
      <c r="B167" s="240"/>
      <c r="C167" s="240"/>
      <c r="D167" s="223">
        <f t="shared" si="54"/>
        <v>0</v>
      </c>
      <c r="E167" s="224"/>
      <c r="F167" s="225">
        <f t="shared" si="55"/>
        <v>0</v>
      </c>
      <c r="H167" s="240"/>
      <c r="I167" s="240"/>
      <c r="J167" s="223">
        <f t="shared" si="56"/>
        <v>0</v>
      </c>
      <c r="K167" s="224"/>
      <c r="L167" s="225">
        <f t="shared" si="57"/>
        <v>0</v>
      </c>
      <c r="N167" s="240"/>
      <c r="O167" s="240"/>
      <c r="P167" s="223">
        <f t="shared" si="58"/>
        <v>0</v>
      </c>
      <c r="Q167" s="224"/>
      <c r="R167" s="225">
        <f t="shared" si="59"/>
        <v>0</v>
      </c>
    </row>
    <row r="168" spans="2:23" x14ac:dyDescent="0.3">
      <c r="B168" s="240"/>
      <c r="C168" s="240"/>
      <c r="D168" s="223">
        <f t="shared" si="54"/>
        <v>0</v>
      </c>
      <c r="E168" s="224"/>
      <c r="F168" s="225">
        <f t="shared" si="55"/>
        <v>0</v>
      </c>
      <c r="H168" s="240"/>
      <c r="I168" s="240"/>
      <c r="J168" s="223">
        <f t="shared" si="56"/>
        <v>0</v>
      </c>
      <c r="K168" s="224"/>
      <c r="L168" s="225">
        <f t="shared" si="57"/>
        <v>0</v>
      </c>
      <c r="N168" s="240"/>
      <c r="O168" s="240"/>
      <c r="P168" s="223">
        <f t="shared" si="58"/>
        <v>0</v>
      </c>
      <c r="Q168" s="224"/>
      <c r="R168" s="225">
        <f t="shared" si="59"/>
        <v>0</v>
      </c>
    </row>
    <row r="169" spans="2:23" ht="4.5" customHeight="1" x14ac:dyDescent="0.3"/>
    <row r="170" spans="2:23" x14ac:dyDescent="0.3">
      <c r="C170" s="227" t="s">
        <v>57</v>
      </c>
      <c r="D170" s="241">
        <f>SUM(D160:D168)</f>
        <v>0</v>
      </c>
      <c r="F170" s="228">
        <f>SUM(F160:F168)</f>
        <v>0</v>
      </c>
      <c r="I170" s="227" t="s">
        <v>57</v>
      </c>
      <c r="J170" s="241">
        <f>SUM(J160:J168)</f>
        <v>0</v>
      </c>
      <c r="L170" s="228">
        <f>SUM(L160:L168)</f>
        <v>0</v>
      </c>
      <c r="O170" s="227" t="s">
        <v>57</v>
      </c>
      <c r="P170" s="241">
        <f>SUM(P160:P168)</f>
        <v>0</v>
      </c>
      <c r="R170" s="228">
        <f>SUM(R160:R168)</f>
        <v>0</v>
      </c>
    </row>
    <row r="171" spans="2:23" ht="3.75" customHeight="1" x14ac:dyDescent="0.3"/>
    <row r="172" spans="2:23" x14ac:dyDescent="0.3">
      <c r="E172" s="229" t="s">
        <v>56</v>
      </c>
      <c r="F172" s="230">
        <f>IF(D170=0,0,F170/D170)</f>
        <v>0</v>
      </c>
      <c r="K172" s="229" t="s">
        <v>56</v>
      </c>
      <c r="L172" s="230">
        <f>IF(J170=0,0,L170/J170)</f>
        <v>0</v>
      </c>
      <c r="Q172" s="229" t="s">
        <v>56</v>
      </c>
      <c r="R172" s="230">
        <f>IF(P170=0,0,R170/P170)</f>
        <v>0</v>
      </c>
    </row>
    <row r="174" spans="2:23" x14ac:dyDescent="0.3">
      <c r="B174" s="238" t="s">
        <v>346</v>
      </c>
      <c r="C174" s="959"/>
      <c r="D174" s="959"/>
      <c r="E174" s="959"/>
      <c r="F174" s="959"/>
      <c r="H174" s="238" t="s">
        <v>346</v>
      </c>
      <c r="I174" s="959"/>
      <c r="J174" s="959"/>
      <c r="K174" s="959"/>
      <c r="L174" s="959"/>
      <c r="N174" s="238" t="s">
        <v>346</v>
      </c>
      <c r="O174" s="959"/>
      <c r="P174" s="959"/>
      <c r="Q174" s="959"/>
      <c r="R174" s="959"/>
      <c r="U174" s="225" t="str">
        <f>IF(C174&gt;"",C174,"")</f>
        <v/>
      </c>
      <c r="V174" s="225" t="str">
        <f>IF(I174&gt;"",I174,"")</f>
        <v/>
      </c>
      <c r="W174" s="225" t="str">
        <f>IF(O174&gt;"",O174,"")</f>
        <v/>
      </c>
    </row>
    <row r="175" spans="2:23" ht="4.5" customHeight="1" x14ac:dyDescent="0.3"/>
    <row r="176" spans="2:23" x14ac:dyDescent="0.3">
      <c r="B176" s="219" t="s">
        <v>339</v>
      </c>
      <c r="C176" s="219" t="s">
        <v>340</v>
      </c>
      <c r="D176" s="220"/>
      <c r="E176" s="221" t="s">
        <v>341</v>
      </c>
      <c r="F176" s="220"/>
      <c r="H176" s="219" t="s">
        <v>339</v>
      </c>
      <c r="I176" s="219" t="s">
        <v>340</v>
      </c>
      <c r="J176" s="220"/>
      <c r="K176" s="221" t="s">
        <v>341</v>
      </c>
      <c r="L176" s="220"/>
      <c r="N176" s="219" t="s">
        <v>339</v>
      </c>
      <c r="O176" s="219" t="s">
        <v>340</v>
      </c>
      <c r="P176" s="220"/>
      <c r="Q176" s="221" t="s">
        <v>341</v>
      </c>
      <c r="R176" s="220"/>
    </row>
    <row r="177" spans="2:23" x14ac:dyDescent="0.3">
      <c r="B177" s="239"/>
      <c r="C177" s="239"/>
      <c r="D177" s="223">
        <f t="shared" ref="D177:D185" si="60">IF(C177="",0,C177-B177+1)</f>
        <v>0</v>
      </c>
      <c r="E177" s="224"/>
      <c r="F177" s="225">
        <f t="shared" ref="F177:F185" si="61">+D177*E177</f>
        <v>0</v>
      </c>
      <c r="H177" s="239"/>
      <c r="I177" s="239"/>
      <c r="J177" s="223">
        <f t="shared" ref="J177:J185" si="62">IF(I177="",0,I177-H177+1)</f>
        <v>0</v>
      </c>
      <c r="K177" s="224"/>
      <c r="L177" s="225">
        <f t="shared" ref="L177:L185" si="63">+J177*K177</f>
        <v>0</v>
      </c>
      <c r="N177" s="239"/>
      <c r="O177" s="239"/>
      <c r="P177" s="223">
        <f t="shared" ref="P177:P185" si="64">IF(O177="",0,O177-N177+1)</f>
        <v>0</v>
      </c>
      <c r="Q177" s="224"/>
      <c r="R177" s="225">
        <f t="shared" ref="R177:R185" si="65">+P177*Q177</f>
        <v>0</v>
      </c>
    </row>
    <row r="178" spans="2:23" x14ac:dyDescent="0.3">
      <c r="B178" s="239"/>
      <c r="C178" s="239"/>
      <c r="D178" s="223">
        <f t="shared" si="60"/>
        <v>0</v>
      </c>
      <c r="E178" s="224"/>
      <c r="F178" s="225">
        <f t="shared" si="61"/>
        <v>0</v>
      </c>
      <c r="H178" s="239"/>
      <c r="I178" s="239"/>
      <c r="J178" s="223">
        <f t="shared" si="62"/>
        <v>0</v>
      </c>
      <c r="K178" s="224"/>
      <c r="L178" s="225">
        <f t="shared" si="63"/>
        <v>0</v>
      </c>
      <c r="N178" s="239"/>
      <c r="O178" s="239"/>
      <c r="P178" s="223">
        <f t="shared" si="64"/>
        <v>0</v>
      </c>
      <c r="Q178" s="224"/>
      <c r="R178" s="225">
        <f t="shared" si="65"/>
        <v>0</v>
      </c>
    </row>
    <row r="179" spans="2:23" x14ac:dyDescent="0.3">
      <c r="B179" s="239"/>
      <c r="C179" s="239"/>
      <c r="D179" s="223">
        <f t="shared" si="60"/>
        <v>0</v>
      </c>
      <c r="E179" s="224"/>
      <c r="F179" s="225">
        <f t="shared" si="61"/>
        <v>0</v>
      </c>
      <c r="H179" s="239"/>
      <c r="I179" s="239"/>
      <c r="J179" s="223">
        <f t="shared" si="62"/>
        <v>0</v>
      </c>
      <c r="K179" s="224"/>
      <c r="L179" s="225">
        <f t="shared" si="63"/>
        <v>0</v>
      </c>
      <c r="N179" s="239"/>
      <c r="O179" s="239"/>
      <c r="P179" s="223">
        <f t="shared" si="64"/>
        <v>0</v>
      </c>
      <c r="Q179" s="224"/>
      <c r="R179" s="225">
        <f t="shared" si="65"/>
        <v>0</v>
      </c>
    </row>
    <row r="180" spans="2:23" x14ac:dyDescent="0.3">
      <c r="B180" s="239"/>
      <c r="C180" s="239"/>
      <c r="D180" s="223">
        <f t="shared" si="60"/>
        <v>0</v>
      </c>
      <c r="E180" s="224"/>
      <c r="F180" s="225">
        <f t="shared" si="61"/>
        <v>0</v>
      </c>
      <c r="H180" s="239"/>
      <c r="I180" s="239"/>
      <c r="J180" s="223">
        <f t="shared" si="62"/>
        <v>0</v>
      </c>
      <c r="K180" s="224"/>
      <c r="L180" s="225">
        <f t="shared" si="63"/>
        <v>0</v>
      </c>
      <c r="N180" s="239"/>
      <c r="O180" s="239"/>
      <c r="P180" s="223">
        <f t="shared" si="64"/>
        <v>0</v>
      </c>
      <c r="Q180" s="224"/>
      <c r="R180" s="225">
        <f t="shared" si="65"/>
        <v>0</v>
      </c>
    </row>
    <row r="181" spans="2:23" x14ac:dyDescent="0.3">
      <c r="B181" s="239"/>
      <c r="C181" s="239"/>
      <c r="D181" s="223">
        <f t="shared" si="60"/>
        <v>0</v>
      </c>
      <c r="E181" s="224"/>
      <c r="F181" s="225">
        <f t="shared" si="61"/>
        <v>0</v>
      </c>
      <c r="H181" s="239"/>
      <c r="I181" s="239"/>
      <c r="J181" s="223">
        <f t="shared" si="62"/>
        <v>0</v>
      </c>
      <c r="K181" s="224"/>
      <c r="L181" s="225">
        <f t="shared" si="63"/>
        <v>0</v>
      </c>
      <c r="N181" s="239"/>
      <c r="O181" s="239"/>
      <c r="P181" s="223">
        <f t="shared" si="64"/>
        <v>0</v>
      </c>
      <c r="Q181" s="224"/>
      <c r="R181" s="225">
        <f t="shared" si="65"/>
        <v>0</v>
      </c>
    </row>
    <row r="182" spans="2:23" x14ac:dyDescent="0.3">
      <c r="B182" s="239"/>
      <c r="C182" s="239"/>
      <c r="D182" s="223">
        <f t="shared" si="60"/>
        <v>0</v>
      </c>
      <c r="E182" s="224"/>
      <c r="F182" s="225">
        <f t="shared" si="61"/>
        <v>0</v>
      </c>
      <c r="H182" s="239"/>
      <c r="I182" s="239"/>
      <c r="J182" s="223">
        <f t="shared" si="62"/>
        <v>0</v>
      </c>
      <c r="K182" s="224"/>
      <c r="L182" s="225">
        <f t="shared" si="63"/>
        <v>0</v>
      </c>
      <c r="N182" s="239"/>
      <c r="O182" s="239"/>
      <c r="P182" s="223">
        <f t="shared" si="64"/>
        <v>0</v>
      </c>
      <c r="Q182" s="224"/>
      <c r="R182" s="225">
        <f t="shared" si="65"/>
        <v>0</v>
      </c>
    </row>
    <row r="183" spans="2:23" x14ac:dyDescent="0.3">
      <c r="B183" s="240"/>
      <c r="C183" s="240"/>
      <c r="D183" s="223">
        <f t="shared" si="60"/>
        <v>0</v>
      </c>
      <c r="E183" s="224"/>
      <c r="F183" s="225">
        <f t="shared" si="61"/>
        <v>0</v>
      </c>
      <c r="H183" s="240"/>
      <c r="I183" s="240"/>
      <c r="J183" s="223">
        <f t="shared" si="62"/>
        <v>0</v>
      </c>
      <c r="K183" s="224"/>
      <c r="L183" s="225">
        <f t="shared" si="63"/>
        <v>0</v>
      </c>
      <c r="N183" s="240"/>
      <c r="O183" s="240"/>
      <c r="P183" s="223">
        <f t="shared" si="64"/>
        <v>0</v>
      </c>
      <c r="Q183" s="224"/>
      <c r="R183" s="225">
        <f t="shared" si="65"/>
        <v>0</v>
      </c>
    </row>
    <row r="184" spans="2:23" x14ac:dyDescent="0.3">
      <c r="B184" s="240"/>
      <c r="C184" s="240"/>
      <c r="D184" s="223">
        <f t="shared" si="60"/>
        <v>0</v>
      </c>
      <c r="E184" s="224"/>
      <c r="F184" s="225">
        <f t="shared" si="61"/>
        <v>0</v>
      </c>
      <c r="H184" s="240"/>
      <c r="I184" s="240"/>
      <c r="J184" s="223">
        <f t="shared" si="62"/>
        <v>0</v>
      </c>
      <c r="K184" s="224"/>
      <c r="L184" s="225">
        <f t="shared" si="63"/>
        <v>0</v>
      </c>
      <c r="N184" s="240"/>
      <c r="O184" s="240"/>
      <c r="P184" s="223">
        <f t="shared" si="64"/>
        <v>0</v>
      </c>
      <c r="Q184" s="224"/>
      <c r="R184" s="225">
        <f t="shared" si="65"/>
        <v>0</v>
      </c>
    </row>
    <row r="185" spans="2:23" x14ac:dyDescent="0.3">
      <c r="B185" s="240"/>
      <c r="C185" s="240"/>
      <c r="D185" s="223">
        <f t="shared" si="60"/>
        <v>0</v>
      </c>
      <c r="E185" s="224"/>
      <c r="F185" s="225">
        <f t="shared" si="61"/>
        <v>0</v>
      </c>
      <c r="H185" s="240"/>
      <c r="I185" s="240"/>
      <c r="J185" s="223">
        <f t="shared" si="62"/>
        <v>0</v>
      </c>
      <c r="K185" s="224"/>
      <c r="L185" s="225">
        <f t="shared" si="63"/>
        <v>0</v>
      </c>
      <c r="N185" s="240"/>
      <c r="O185" s="240"/>
      <c r="P185" s="223">
        <f t="shared" si="64"/>
        <v>0</v>
      </c>
      <c r="Q185" s="224"/>
      <c r="R185" s="225">
        <f t="shared" si="65"/>
        <v>0</v>
      </c>
    </row>
    <row r="186" spans="2:23" ht="4.5" customHeight="1" x14ac:dyDescent="0.3"/>
    <row r="187" spans="2:23" x14ac:dyDescent="0.3">
      <c r="C187" s="227" t="s">
        <v>57</v>
      </c>
      <c r="D187" s="241">
        <f>SUM(D177:D185)</f>
        <v>0</v>
      </c>
      <c r="F187" s="228">
        <f>SUM(F177:F185)</f>
        <v>0</v>
      </c>
      <c r="I187" s="227" t="s">
        <v>57</v>
      </c>
      <c r="J187" s="241">
        <f>SUM(J177:J185)</f>
        <v>0</v>
      </c>
      <c r="L187" s="228">
        <f>SUM(L177:L185)</f>
        <v>0</v>
      </c>
      <c r="O187" s="227" t="s">
        <v>57</v>
      </c>
      <c r="P187" s="241">
        <f>SUM(P177:P185)</f>
        <v>0</v>
      </c>
      <c r="R187" s="228">
        <f>SUM(R177:R185)</f>
        <v>0</v>
      </c>
    </row>
    <row r="188" spans="2:23" ht="3.75" customHeight="1" x14ac:dyDescent="0.3"/>
    <row r="189" spans="2:23" x14ac:dyDescent="0.3">
      <c r="E189" s="229" t="s">
        <v>56</v>
      </c>
      <c r="F189" s="230">
        <f>IF(D187=0,0,F187/D187)</f>
        <v>0</v>
      </c>
      <c r="K189" s="229" t="s">
        <v>56</v>
      </c>
      <c r="L189" s="230">
        <f>IF(J187=0,0,L187/J187)</f>
        <v>0</v>
      </c>
      <c r="Q189" s="229" t="s">
        <v>56</v>
      </c>
      <c r="R189" s="230">
        <f>IF(P187=0,0,R187/P187)</f>
        <v>0</v>
      </c>
    </row>
    <row r="191" spans="2:23" x14ac:dyDescent="0.3">
      <c r="B191" s="238" t="s">
        <v>346</v>
      </c>
      <c r="C191" s="959"/>
      <c r="D191" s="959"/>
      <c r="E191" s="959"/>
      <c r="F191" s="959"/>
      <c r="H191" s="238" t="s">
        <v>346</v>
      </c>
      <c r="I191" s="959"/>
      <c r="J191" s="959"/>
      <c r="K191" s="959"/>
      <c r="L191" s="959"/>
      <c r="N191" s="238" t="s">
        <v>346</v>
      </c>
      <c r="O191" s="959"/>
      <c r="P191" s="959"/>
      <c r="Q191" s="959"/>
      <c r="R191" s="959"/>
      <c r="U191" s="225" t="str">
        <f>IF(C191&gt;"",C191,"")</f>
        <v/>
      </c>
      <c r="V191" s="225" t="str">
        <f>IF(I191&gt;"",I191,"")</f>
        <v/>
      </c>
      <c r="W191" s="225" t="str">
        <f>IF(O191&gt;"",O191,"")</f>
        <v/>
      </c>
    </row>
    <row r="192" spans="2:23" ht="4.5" customHeight="1" x14ac:dyDescent="0.3"/>
    <row r="193" spans="2:23" x14ac:dyDescent="0.3">
      <c r="B193" s="219" t="s">
        <v>339</v>
      </c>
      <c r="C193" s="219" t="s">
        <v>340</v>
      </c>
      <c r="D193" s="220"/>
      <c r="E193" s="221" t="s">
        <v>341</v>
      </c>
      <c r="F193" s="220"/>
      <c r="H193" s="219" t="s">
        <v>339</v>
      </c>
      <c r="I193" s="219" t="s">
        <v>340</v>
      </c>
      <c r="J193" s="220"/>
      <c r="K193" s="221" t="s">
        <v>341</v>
      </c>
      <c r="L193" s="220"/>
      <c r="N193" s="219" t="s">
        <v>339</v>
      </c>
      <c r="O193" s="219" t="s">
        <v>340</v>
      </c>
      <c r="P193" s="220"/>
      <c r="Q193" s="221" t="s">
        <v>341</v>
      </c>
      <c r="R193" s="220"/>
    </row>
    <row r="194" spans="2:23" x14ac:dyDescent="0.3">
      <c r="B194" s="239"/>
      <c r="C194" s="239"/>
      <c r="D194" s="223">
        <f t="shared" ref="D194:D202" si="66">IF(C194="",0,C194-B194+1)</f>
        <v>0</v>
      </c>
      <c r="E194" s="224"/>
      <c r="F194" s="225">
        <f t="shared" ref="F194:F202" si="67">+D194*E194</f>
        <v>0</v>
      </c>
      <c r="H194" s="239"/>
      <c r="I194" s="239"/>
      <c r="J194" s="223">
        <f t="shared" ref="J194:J202" si="68">IF(I194="",0,I194-H194+1)</f>
        <v>0</v>
      </c>
      <c r="K194" s="224"/>
      <c r="L194" s="225">
        <f t="shared" ref="L194:L202" si="69">+J194*K194</f>
        <v>0</v>
      </c>
      <c r="N194" s="239"/>
      <c r="O194" s="239"/>
      <c r="P194" s="223">
        <f t="shared" ref="P194:P202" si="70">IF(O194="",0,O194-N194+1)</f>
        <v>0</v>
      </c>
      <c r="Q194" s="224"/>
      <c r="R194" s="225">
        <f t="shared" ref="R194:R202" si="71">+P194*Q194</f>
        <v>0</v>
      </c>
    </row>
    <row r="195" spans="2:23" x14ac:dyDescent="0.3">
      <c r="B195" s="239"/>
      <c r="C195" s="239"/>
      <c r="D195" s="223">
        <f t="shared" si="66"/>
        <v>0</v>
      </c>
      <c r="E195" s="224"/>
      <c r="F195" s="225">
        <f t="shared" si="67"/>
        <v>0</v>
      </c>
      <c r="H195" s="239"/>
      <c r="I195" s="239"/>
      <c r="J195" s="223">
        <f t="shared" si="68"/>
        <v>0</v>
      </c>
      <c r="K195" s="224"/>
      <c r="L195" s="225">
        <f t="shared" si="69"/>
        <v>0</v>
      </c>
      <c r="N195" s="239"/>
      <c r="O195" s="239"/>
      <c r="P195" s="223">
        <f t="shared" si="70"/>
        <v>0</v>
      </c>
      <c r="Q195" s="224"/>
      <c r="R195" s="225">
        <f t="shared" si="71"/>
        <v>0</v>
      </c>
    </row>
    <row r="196" spans="2:23" x14ac:dyDescent="0.3">
      <c r="B196" s="239"/>
      <c r="C196" s="239"/>
      <c r="D196" s="223">
        <f t="shared" si="66"/>
        <v>0</v>
      </c>
      <c r="E196" s="224"/>
      <c r="F196" s="225">
        <f t="shared" si="67"/>
        <v>0</v>
      </c>
      <c r="H196" s="239"/>
      <c r="I196" s="239"/>
      <c r="J196" s="223">
        <f t="shared" si="68"/>
        <v>0</v>
      </c>
      <c r="K196" s="224"/>
      <c r="L196" s="225">
        <f t="shared" si="69"/>
        <v>0</v>
      </c>
      <c r="N196" s="239"/>
      <c r="O196" s="239"/>
      <c r="P196" s="223">
        <f t="shared" si="70"/>
        <v>0</v>
      </c>
      <c r="Q196" s="224"/>
      <c r="R196" s="225">
        <f t="shared" si="71"/>
        <v>0</v>
      </c>
    </row>
    <row r="197" spans="2:23" x14ac:dyDescent="0.3">
      <c r="B197" s="239"/>
      <c r="C197" s="239"/>
      <c r="D197" s="223">
        <f t="shared" si="66"/>
        <v>0</v>
      </c>
      <c r="E197" s="224"/>
      <c r="F197" s="225">
        <f t="shared" si="67"/>
        <v>0</v>
      </c>
      <c r="H197" s="239"/>
      <c r="I197" s="239"/>
      <c r="J197" s="223">
        <f t="shared" si="68"/>
        <v>0</v>
      </c>
      <c r="K197" s="224"/>
      <c r="L197" s="225">
        <f t="shared" si="69"/>
        <v>0</v>
      </c>
      <c r="N197" s="239"/>
      <c r="O197" s="239"/>
      <c r="P197" s="223">
        <f t="shared" si="70"/>
        <v>0</v>
      </c>
      <c r="Q197" s="224"/>
      <c r="R197" s="225">
        <f t="shared" si="71"/>
        <v>0</v>
      </c>
    </row>
    <row r="198" spans="2:23" x14ac:dyDescent="0.3">
      <c r="B198" s="239"/>
      <c r="C198" s="239"/>
      <c r="D198" s="223">
        <f t="shared" si="66"/>
        <v>0</v>
      </c>
      <c r="E198" s="224"/>
      <c r="F198" s="225">
        <f t="shared" si="67"/>
        <v>0</v>
      </c>
      <c r="H198" s="239"/>
      <c r="I198" s="239"/>
      <c r="J198" s="223">
        <f t="shared" si="68"/>
        <v>0</v>
      </c>
      <c r="K198" s="224"/>
      <c r="L198" s="225">
        <f t="shared" si="69"/>
        <v>0</v>
      </c>
      <c r="N198" s="239"/>
      <c r="O198" s="239"/>
      <c r="P198" s="223">
        <f t="shared" si="70"/>
        <v>0</v>
      </c>
      <c r="Q198" s="224"/>
      <c r="R198" s="225">
        <f t="shared" si="71"/>
        <v>0</v>
      </c>
    </row>
    <row r="199" spans="2:23" x14ac:dyDescent="0.3">
      <c r="B199" s="239"/>
      <c r="C199" s="239"/>
      <c r="D199" s="223">
        <f t="shared" si="66"/>
        <v>0</v>
      </c>
      <c r="E199" s="224"/>
      <c r="F199" s="225">
        <f t="shared" si="67"/>
        <v>0</v>
      </c>
      <c r="H199" s="239"/>
      <c r="I199" s="239"/>
      <c r="J199" s="223">
        <f t="shared" si="68"/>
        <v>0</v>
      </c>
      <c r="K199" s="224"/>
      <c r="L199" s="225">
        <f t="shared" si="69"/>
        <v>0</v>
      </c>
      <c r="N199" s="239"/>
      <c r="O199" s="239"/>
      <c r="P199" s="223">
        <f t="shared" si="70"/>
        <v>0</v>
      </c>
      <c r="Q199" s="224"/>
      <c r="R199" s="225">
        <f t="shared" si="71"/>
        <v>0</v>
      </c>
    </row>
    <row r="200" spans="2:23" x14ac:dyDescent="0.3">
      <c r="B200" s="240"/>
      <c r="C200" s="240"/>
      <c r="D200" s="223">
        <f t="shared" si="66"/>
        <v>0</v>
      </c>
      <c r="E200" s="224"/>
      <c r="F200" s="225">
        <f t="shared" si="67"/>
        <v>0</v>
      </c>
      <c r="H200" s="240"/>
      <c r="I200" s="240"/>
      <c r="J200" s="223">
        <f t="shared" si="68"/>
        <v>0</v>
      </c>
      <c r="K200" s="224"/>
      <c r="L200" s="225">
        <f t="shared" si="69"/>
        <v>0</v>
      </c>
      <c r="N200" s="240"/>
      <c r="O200" s="240"/>
      <c r="P200" s="223">
        <f t="shared" si="70"/>
        <v>0</v>
      </c>
      <c r="Q200" s="224"/>
      <c r="R200" s="225">
        <f t="shared" si="71"/>
        <v>0</v>
      </c>
    </row>
    <row r="201" spans="2:23" x14ac:dyDescent="0.3">
      <c r="B201" s="240"/>
      <c r="C201" s="240"/>
      <c r="D201" s="223">
        <f t="shared" si="66"/>
        <v>0</v>
      </c>
      <c r="E201" s="224"/>
      <c r="F201" s="225">
        <f t="shared" si="67"/>
        <v>0</v>
      </c>
      <c r="H201" s="240"/>
      <c r="I201" s="240"/>
      <c r="J201" s="223">
        <f t="shared" si="68"/>
        <v>0</v>
      </c>
      <c r="K201" s="224"/>
      <c r="L201" s="225">
        <f t="shared" si="69"/>
        <v>0</v>
      </c>
      <c r="N201" s="240"/>
      <c r="O201" s="240"/>
      <c r="P201" s="223">
        <f t="shared" si="70"/>
        <v>0</v>
      </c>
      <c r="Q201" s="224"/>
      <c r="R201" s="225">
        <f t="shared" si="71"/>
        <v>0</v>
      </c>
    </row>
    <row r="202" spans="2:23" x14ac:dyDescent="0.3">
      <c r="B202" s="240"/>
      <c r="C202" s="240"/>
      <c r="D202" s="223">
        <f t="shared" si="66"/>
        <v>0</v>
      </c>
      <c r="E202" s="224"/>
      <c r="F202" s="225">
        <f t="shared" si="67"/>
        <v>0</v>
      </c>
      <c r="H202" s="240"/>
      <c r="I202" s="240"/>
      <c r="J202" s="223">
        <f t="shared" si="68"/>
        <v>0</v>
      </c>
      <c r="K202" s="224"/>
      <c r="L202" s="225">
        <f t="shared" si="69"/>
        <v>0</v>
      </c>
      <c r="N202" s="240"/>
      <c r="O202" s="240"/>
      <c r="P202" s="223">
        <f t="shared" si="70"/>
        <v>0</v>
      </c>
      <c r="Q202" s="224"/>
      <c r="R202" s="225">
        <f t="shared" si="71"/>
        <v>0</v>
      </c>
    </row>
    <row r="203" spans="2:23" ht="4.5" customHeight="1" x14ac:dyDescent="0.3"/>
    <row r="204" spans="2:23" x14ac:dyDescent="0.3">
      <c r="C204" s="227" t="s">
        <v>57</v>
      </c>
      <c r="D204" s="241">
        <f>SUM(D194:D202)</f>
        <v>0</v>
      </c>
      <c r="F204" s="228">
        <f>SUM(F194:F202)</f>
        <v>0</v>
      </c>
      <c r="I204" s="227" t="s">
        <v>57</v>
      </c>
      <c r="J204" s="241">
        <f>SUM(J194:J202)</f>
        <v>0</v>
      </c>
      <c r="L204" s="228">
        <f>SUM(L194:L202)</f>
        <v>0</v>
      </c>
      <c r="O204" s="227" t="s">
        <v>57</v>
      </c>
      <c r="P204" s="241">
        <f>SUM(P194:P202)</f>
        <v>0</v>
      </c>
      <c r="R204" s="228">
        <f>SUM(R194:R202)</f>
        <v>0</v>
      </c>
    </row>
    <row r="205" spans="2:23" ht="3.75" customHeight="1" x14ac:dyDescent="0.3"/>
    <row r="206" spans="2:23" x14ac:dyDescent="0.3">
      <c r="E206" s="229" t="s">
        <v>56</v>
      </c>
      <c r="F206" s="230">
        <f>IF(D204=0,0,F204/D204)</f>
        <v>0</v>
      </c>
      <c r="K206" s="229" t="s">
        <v>56</v>
      </c>
      <c r="L206" s="230">
        <f>IF(J204=0,0,L204/J204)</f>
        <v>0</v>
      </c>
      <c r="Q206" s="229" t="s">
        <v>56</v>
      </c>
      <c r="R206" s="230">
        <f>IF(P204=0,0,R204/P204)</f>
        <v>0</v>
      </c>
    </row>
    <row r="208" spans="2:23" x14ac:dyDescent="0.3">
      <c r="B208" s="238" t="s">
        <v>346</v>
      </c>
      <c r="C208" s="959"/>
      <c r="D208" s="959"/>
      <c r="E208" s="959"/>
      <c r="F208" s="959"/>
      <c r="H208" s="238" t="s">
        <v>346</v>
      </c>
      <c r="I208" s="959"/>
      <c r="J208" s="959"/>
      <c r="K208" s="959"/>
      <c r="L208" s="959"/>
      <c r="N208" s="238" t="s">
        <v>346</v>
      </c>
      <c r="O208" s="959"/>
      <c r="P208" s="959"/>
      <c r="Q208" s="959"/>
      <c r="R208" s="959"/>
      <c r="U208" s="225" t="str">
        <f>IF(C208&gt;"",C208,"")</f>
        <v/>
      </c>
      <c r="V208" s="225" t="str">
        <f>IF(I208&gt;"",I208,"")</f>
        <v/>
      </c>
      <c r="W208" s="225" t="str">
        <f>IF(O208&gt;"",O208,"")</f>
        <v/>
      </c>
    </row>
    <row r="209" spans="2:18" ht="4.5" customHeight="1" x14ac:dyDescent="0.3"/>
    <row r="210" spans="2:18" x14ac:dyDescent="0.3">
      <c r="B210" s="219" t="s">
        <v>339</v>
      </c>
      <c r="C210" s="219" t="s">
        <v>340</v>
      </c>
      <c r="D210" s="220"/>
      <c r="E210" s="221" t="s">
        <v>341</v>
      </c>
      <c r="F210" s="220"/>
      <c r="H210" s="219" t="s">
        <v>339</v>
      </c>
      <c r="I210" s="219" t="s">
        <v>340</v>
      </c>
      <c r="J210" s="220"/>
      <c r="K210" s="221" t="s">
        <v>341</v>
      </c>
      <c r="L210" s="220"/>
      <c r="N210" s="219" t="s">
        <v>339</v>
      </c>
      <c r="O210" s="219" t="s">
        <v>340</v>
      </c>
      <c r="P210" s="220"/>
      <c r="Q210" s="221" t="s">
        <v>341</v>
      </c>
      <c r="R210" s="220"/>
    </row>
    <row r="211" spans="2:18" x14ac:dyDescent="0.3">
      <c r="B211" s="239"/>
      <c r="C211" s="239"/>
      <c r="D211" s="223">
        <f t="shared" ref="D211:D219" si="72">IF(C211="",0,C211-B211+1)</f>
        <v>0</v>
      </c>
      <c r="E211" s="224"/>
      <c r="F211" s="225">
        <f t="shared" ref="F211:F219" si="73">+D211*E211</f>
        <v>0</v>
      </c>
      <c r="H211" s="239"/>
      <c r="I211" s="239"/>
      <c r="J211" s="223">
        <f t="shared" ref="J211:J219" si="74">IF(I211="",0,I211-H211+1)</f>
        <v>0</v>
      </c>
      <c r="K211" s="224"/>
      <c r="L211" s="225">
        <f t="shared" ref="L211:L219" si="75">+J211*K211</f>
        <v>0</v>
      </c>
      <c r="N211" s="239"/>
      <c r="O211" s="239"/>
      <c r="P211" s="223">
        <f t="shared" ref="P211:P219" si="76">IF(O211="",0,O211-N211+1)</f>
        <v>0</v>
      </c>
      <c r="Q211" s="224"/>
      <c r="R211" s="225">
        <f t="shared" ref="R211:R219" si="77">+P211*Q211</f>
        <v>0</v>
      </c>
    </row>
    <row r="212" spans="2:18" x14ac:dyDescent="0.3">
      <c r="B212" s="239"/>
      <c r="C212" s="239"/>
      <c r="D212" s="223">
        <f t="shared" si="72"/>
        <v>0</v>
      </c>
      <c r="E212" s="224"/>
      <c r="F212" s="225">
        <f t="shared" si="73"/>
        <v>0</v>
      </c>
      <c r="H212" s="239"/>
      <c r="I212" s="239"/>
      <c r="J212" s="223">
        <f t="shared" si="74"/>
        <v>0</v>
      </c>
      <c r="K212" s="224"/>
      <c r="L212" s="225">
        <f t="shared" si="75"/>
        <v>0</v>
      </c>
      <c r="N212" s="239"/>
      <c r="O212" s="239"/>
      <c r="P212" s="223">
        <f t="shared" si="76"/>
        <v>0</v>
      </c>
      <c r="Q212" s="224"/>
      <c r="R212" s="225">
        <f t="shared" si="77"/>
        <v>0</v>
      </c>
    </row>
    <row r="213" spans="2:18" x14ac:dyDescent="0.3">
      <c r="B213" s="239"/>
      <c r="C213" s="239"/>
      <c r="D213" s="223">
        <f t="shared" si="72"/>
        <v>0</v>
      </c>
      <c r="E213" s="224"/>
      <c r="F213" s="225">
        <f t="shared" si="73"/>
        <v>0</v>
      </c>
      <c r="H213" s="239"/>
      <c r="I213" s="239"/>
      <c r="J213" s="223">
        <f t="shared" si="74"/>
        <v>0</v>
      </c>
      <c r="K213" s="224"/>
      <c r="L213" s="225">
        <f t="shared" si="75"/>
        <v>0</v>
      </c>
      <c r="N213" s="239"/>
      <c r="O213" s="239"/>
      <c r="P213" s="223">
        <f t="shared" si="76"/>
        <v>0</v>
      </c>
      <c r="Q213" s="224"/>
      <c r="R213" s="225">
        <f t="shared" si="77"/>
        <v>0</v>
      </c>
    </row>
    <row r="214" spans="2:18" x14ac:dyDescent="0.3">
      <c r="B214" s="239"/>
      <c r="C214" s="239"/>
      <c r="D214" s="223">
        <f t="shared" si="72"/>
        <v>0</v>
      </c>
      <c r="E214" s="224"/>
      <c r="F214" s="225">
        <f t="shared" si="73"/>
        <v>0</v>
      </c>
      <c r="H214" s="239"/>
      <c r="I214" s="239"/>
      <c r="J214" s="223">
        <f t="shared" si="74"/>
        <v>0</v>
      </c>
      <c r="K214" s="224"/>
      <c r="L214" s="225">
        <f t="shared" si="75"/>
        <v>0</v>
      </c>
      <c r="N214" s="239"/>
      <c r="O214" s="239"/>
      <c r="P214" s="223">
        <f t="shared" si="76"/>
        <v>0</v>
      </c>
      <c r="Q214" s="224"/>
      <c r="R214" s="225">
        <f t="shared" si="77"/>
        <v>0</v>
      </c>
    </row>
    <row r="215" spans="2:18" x14ac:dyDescent="0.3">
      <c r="B215" s="239"/>
      <c r="C215" s="239"/>
      <c r="D215" s="223">
        <f t="shared" si="72"/>
        <v>0</v>
      </c>
      <c r="E215" s="224"/>
      <c r="F215" s="225">
        <f t="shared" si="73"/>
        <v>0</v>
      </c>
      <c r="H215" s="239"/>
      <c r="I215" s="239"/>
      <c r="J215" s="223">
        <f t="shared" si="74"/>
        <v>0</v>
      </c>
      <c r="K215" s="224"/>
      <c r="L215" s="225">
        <f t="shared" si="75"/>
        <v>0</v>
      </c>
      <c r="N215" s="239"/>
      <c r="O215" s="239"/>
      <c r="P215" s="223">
        <f t="shared" si="76"/>
        <v>0</v>
      </c>
      <c r="Q215" s="224"/>
      <c r="R215" s="225">
        <f t="shared" si="77"/>
        <v>0</v>
      </c>
    </row>
    <row r="216" spans="2:18" x14ac:dyDescent="0.3">
      <c r="B216" s="239"/>
      <c r="C216" s="239"/>
      <c r="D216" s="223">
        <f t="shared" si="72"/>
        <v>0</v>
      </c>
      <c r="E216" s="224"/>
      <c r="F216" s="225">
        <f t="shared" si="73"/>
        <v>0</v>
      </c>
      <c r="H216" s="239"/>
      <c r="I216" s="239"/>
      <c r="J216" s="223">
        <f t="shared" si="74"/>
        <v>0</v>
      </c>
      <c r="K216" s="224"/>
      <c r="L216" s="225">
        <f t="shared" si="75"/>
        <v>0</v>
      </c>
      <c r="N216" s="239"/>
      <c r="O216" s="239"/>
      <c r="P216" s="223">
        <f t="shared" si="76"/>
        <v>0</v>
      </c>
      <c r="Q216" s="224"/>
      <c r="R216" s="225">
        <f t="shared" si="77"/>
        <v>0</v>
      </c>
    </row>
    <row r="217" spans="2:18" x14ac:dyDescent="0.3">
      <c r="B217" s="240"/>
      <c r="C217" s="240"/>
      <c r="D217" s="223">
        <f t="shared" si="72"/>
        <v>0</v>
      </c>
      <c r="E217" s="224"/>
      <c r="F217" s="225">
        <f t="shared" si="73"/>
        <v>0</v>
      </c>
      <c r="H217" s="240"/>
      <c r="I217" s="240"/>
      <c r="J217" s="223">
        <f t="shared" si="74"/>
        <v>0</v>
      </c>
      <c r="K217" s="224"/>
      <c r="L217" s="225">
        <f t="shared" si="75"/>
        <v>0</v>
      </c>
      <c r="N217" s="240"/>
      <c r="O217" s="240"/>
      <c r="P217" s="223">
        <f t="shared" si="76"/>
        <v>0</v>
      </c>
      <c r="Q217" s="224"/>
      <c r="R217" s="225">
        <f t="shared" si="77"/>
        <v>0</v>
      </c>
    </row>
    <row r="218" spans="2:18" x14ac:dyDescent="0.3">
      <c r="B218" s="240"/>
      <c r="C218" s="240"/>
      <c r="D218" s="223">
        <f t="shared" si="72"/>
        <v>0</v>
      </c>
      <c r="E218" s="224"/>
      <c r="F218" s="225">
        <f t="shared" si="73"/>
        <v>0</v>
      </c>
      <c r="H218" s="240"/>
      <c r="I218" s="240"/>
      <c r="J218" s="223">
        <f t="shared" si="74"/>
        <v>0</v>
      </c>
      <c r="K218" s="224"/>
      <c r="L218" s="225">
        <f t="shared" si="75"/>
        <v>0</v>
      </c>
      <c r="N218" s="240"/>
      <c r="O218" s="240"/>
      <c r="P218" s="223">
        <f t="shared" si="76"/>
        <v>0</v>
      </c>
      <c r="Q218" s="224"/>
      <c r="R218" s="225">
        <f t="shared" si="77"/>
        <v>0</v>
      </c>
    </row>
    <row r="219" spans="2:18" x14ac:dyDescent="0.3">
      <c r="B219" s="240"/>
      <c r="C219" s="240"/>
      <c r="D219" s="223">
        <f t="shared" si="72"/>
        <v>0</v>
      </c>
      <c r="E219" s="224"/>
      <c r="F219" s="225">
        <f t="shared" si="73"/>
        <v>0</v>
      </c>
      <c r="H219" s="240"/>
      <c r="I219" s="240"/>
      <c r="J219" s="223">
        <f t="shared" si="74"/>
        <v>0</v>
      </c>
      <c r="K219" s="224"/>
      <c r="L219" s="225">
        <f t="shared" si="75"/>
        <v>0</v>
      </c>
      <c r="N219" s="240"/>
      <c r="O219" s="240"/>
      <c r="P219" s="223">
        <f t="shared" si="76"/>
        <v>0</v>
      </c>
      <c r="Q219" s="224"/>
      <c r="R219" s="225">
        <f t="shared" si="77"/>
        <v>0</v>
      </c>
    </row>
    <row r="220" spans="2:18" ht="4.5" customHeight="1" x14ac:dyDescent="0.3"/>
    <row r="221" spans="2:18" x14ac:dyDescent="0.3">
      <c r="C221" s="227" t="s">
        <v>57</v>
      </c>
      <c r="D221" s="241">
        <f>SUM(D211:D219)</f>
        <v>0</v>
      </c>
      <c r="F221" s="228">
        <f>SUM(F211:F219)</f>
        <v>0</v>
      </c>
      <c r="I221" s="227" t="s">
        <v>57</v>
      </c>
      <c r="J221" s="241">
        <f>SUM(J211:J219)</f>
        <v>0</v>
      </c>
      <c r="L221" s="228">
        <f>SUM(L211:L219)</f>
        <v>0</v>
      </c>
      <c r="O221" s="227" t="s">
        <v>57</v>
      </c>
      <c r="P221" s="241">
        <f>SUM(P211:P219)</f>
        <v>0</v>
      </c>
      <c r="R221" s="228">
        <f>SUM(R211:R219)</f>
        <v>0</v>
      </c>
    </row>
    <row r="222" spans="2:18" ht="3.75" customHeight="1" x14ac:dyDescent="0.3"/>
    <row r="223" spans="2:18" x14ac:dyDescent="0.3">
      <c r="E223" s="229" t="s">
        <v>56</v>
      </c>
      <c r="F223" s="230">
        <f>IF(D221=0,0,F221/D221)</f>
        <v>0</v>
      </c>
      <c r="K223" s="229" t="s">
        <v>56</v>
      </c>
      <c r="L223" s="230">
        <f>IF(J221=0,0,L221/J221)</f>
        <v>0</v>
      </c>
      <c r="Q223" s="229" t="s">
        <v>56</v>
      </c>
      <c r="R223" s="230">
        <f>IF(P221=0,0,R221/P221)</f>
        <v>0</v>
      </c>
    </row>
    <row r="224" spans="2:18" ht="25.8" x14ac:dyDescent="0.5">
      <c r="B224" s="237"/>
      <c r="H224" s="237"/>
      <c r="N224" s="237"/>
    </row>
    <row r="225" spans="2:23" x14ac:dyDescent="0.3">
      <c r="B225" s="238" t="s">
        <v>346</v>
      </c>
      <c r="C225" s="959"/>
      <c r="D225" s="959"/>
      <c r="E225" s="959"/>
      <c r="F225" s="959"/>
      <c r="H225" s="238" t="s">
        <v>346</v>
      </c>
      <c r="I225" s="959"/>
      <c r="J225" s="959"/>
      <c r="K225" s="959"/>
      <c r="L225" s="959"/>
      <c r="N225" s="238" t="s">
        <v>346</v>
      </c>
      <c r="O225" s="959"/>
      <c r="P225" s="959"/>
      <c r="Q225" s="959"/>
      <c r="R225" s="959"/>
      <c r="U225" s="225" t="str">
        <f>IF(C225&gt;"",C225,"")</f>
        <v/>
      </c>
      <c r="V225" s="225" t="str">
        <f>IF(I225&gt;"",I225,"")</f>
        <v/>
      </c>
      <c r="W225" s="225" t="str">
        <f>IF(O225&gt;"",O225,"")</f>
        <v/>
      </c>
    </row>
    <row r="226" spans="2:23" ht="4.5" customHeight="1" x14ac:dyDescent="0.3"/>
    <row r="227" spans="2:23" x14ac:dyDescent="0.3">
      <c r="B227" s="219" t="s">
        <v>339</v>
      </c>
      <c r="C227" s="219" t="s">
        <v>340</v>
      </c>
      <c r="D227" s="220"/>
      <c r="E227" s="221" t="s">
        <v>341</v>
      </c>
      <c r="F227" s="220"/>
      <c r="H227" s="219" t="s">
        <v>339</v>
      </c>
      <c r="I227" s="219" t="s">
        <v>340</v>
      </c>
      <c r="J227" s="220"/>
      <c r="K227" s="221" t="s">
        <v>341</v>
      </c>
      <c r="L227" s="220"/>
      <c r="N227" s="219" t="s">
        <v>339</v>
      </c>
      <c r="O227" s="219" t="s">
        <v>340</v>
      </c>
      <c r="P227" s="220"/>
      <c r="Q227" s="221" t="s">
        <v>341</v>
      </c>
      <c r="R227" s="220"/>
    </row>
    <row r="228" spans="2:23" x14ac:dyDescent="0.3">
      <c r="B228" s="239"/>
      <c r="C228" s="239"/>
      <c r="D228" s="223">
        <f t="shared" ref="D228:D236" si="78">IF(C228="",0,C228-B228+1)</f>
        <v>0</v>
      </c>
      <c r="E228" s="224"/>
      <c r="F228" s="225">
        <f t="shared" ref="F228:F236" si="79">+D228*E228</f>
        <v>0</v>
      </c>
      <c r="H228" s="239"/>
      <c r="I228" s="239"/>
      <c r="J228" s="223">
        <f t="shared" ref="J228:J236" si="80">IF(I228="",0,I228-H228+1)</f>
        <v>0</v>
      </c>
      <c r="K228" s="224"/>
      <c r="L228" s="225">
        <f t="shared" ref="L228:L236" si="81">+J228*K228</f>
        <v>0</v>
      </c>
      <c r="N228" s="239"/>
      <c r="O228" s="239"/>
      <c r="P228" s="223">
        <f t="shared" ref="P228:P236" si="82">IF(O228="",0,O228-N228+1)</f>
        <v>0</v>
      </c>
      <c r="Q228" s="224"/>
      <c r="R228" s="225">
        <f t="shared" ref="R228:R236" si="83">+P228*Q228</f>
        <v>0</v>
      </c>
    </row>
    <row r="229" spans="2:23" x14ac:dyDescent="0.3">
      <c r="B229" s="239"/>
      <c r="C229" s="239"/>
      <c r="D229" s="223">
        <f t="shared" si="78"/>
        <v>0</v>
      </c>
      <c r="E229" s="224"/>
      <c r="F229" s="225">
        <f t="shared" si="79"/>
        <v>0</v>
      </c>
      <c r="H229" s="239"/>
      <c r="I229" s="239"/>
      <c r="J229" s="223">
        <f t="shared" si="80"/>
        <v>0</v>
      </c>
      <c r="K229" s="224"/>
      <c r="L229" s="225">
        <f t="shared" si="81"/>
        <v>0</v>
      </c>
      <c r="N229" s="239"/>
      <c r="O229" s="239"/>
      <c r="P229" s="223">
        <f t="shared" si="82"/>
        <v>0</v>
      </c>
      <c r="Q229" s="224"/>
      <c r="R229" s="225">
        <f t="shared" si="83"/>
        <v>0</v>
      </c>
    </row>
    <row r="230" spans="2:23" x14ac:dyDescent="0.3">
      <c r="B230" s="239"/>
      <c r="C230" s="239"/>
      <c r="D230" s="223">
        <f t="shared" si="78"/>
        <v>0</v>
      </c>
      <c r="E230" s="224"/>
      <c r="F230" s="225">
        <f t="shared" si="79"/>
        <v>0</v>
      </c>
      <c r="H230" s="239"/>
      <c r="I230" s="239"/>
      <c r="J230" s="223">
        <f t="shared" si="80"/>
        <v>0</v>
      </c>
      <c r="K230" s="224"/>
      <c r="L230" s="225">
        <f t="shared" si="81"/>
        <v>0</v>
      </c>
      <c r="N230" s="239"/>
      <c r="O230" s="239"/>
      <c r="P230" s="223">
        <f t="shared" si="82"/>
        <v>0</v>
      </c>
      <c r="Q230" s="224"/>
      <c r="R230" s="225">
        <f t="shared" si="83"/>
        <v>0</v>
      </c>
    </row>
    <row r="231" spans="2:23" x14ac:dyDescent="0.3">
      <c r="B231" s="239"/>
      <c r="C231" s="239"/>
      <c r="D231" s="223">
        <f t="shared" si="78"/>
        <v>0</v>
      </c>
      <c r="E231" s="224"/>
      <c r="F231" s="225">
        <f t="shared" si="79"/>
        <v>0</v>
      </c>
      <c r="H231" s="239"/>
      <c r="I231" s="239"/>
      <c r="J231" s="223">
        <f t="shared" si="80"/>
        <v>0</v>
      </c>
      <c r="K231" s="224"/>
      <c r="L231" s="225">
        <f t="shared" si="81"/>
        <v>0</v>
      </c>
      <c r="N231" s="239"/>
      <c r="O231" s="239"/>
      <c r="P231" s="223">
        <f t="shared" si="82"/>
        <v>0</v>
      </c>
      <c r="Q231" s="224"/>
      <c r="R231" s="225">
        <f t="shared" si="83"/>
        <v>0</v>
      </c>
    </row>
    <row r="232" spans="2:23" x14ac:dyDescent="0.3">
      <c r="B232" s="239"/>
      <c r="C232" s="239"/>
      <c r="D232" s="223">
        <f t="shared" si="78"/>
        <v>0</v>
      </c>
      <c r="E232" s="224"/>
      <c r="F232" s="225">
        <f t="shared" si="79"/>
        <v>0</v>
      </c>
      <c r="H232" s="239"/>
      <c r="I232" s="239"/>
      <c r="J232" s="223">
        <f t="shared" si="80"/>
        <v>0</v>
      </c>
      <c r="K232" s="224"/>
      <c r="L232" s="225">
        <f t="shared" si="81"/>
        <v>0</v>
      </c>
      <c r="N232" s="239"/>
      <c r="O232" s="239"/>
      <c r="P232" s="223">
        <f t="shared" si="82"/>
        <v>0</v>
      </c>
      <c r="Q232" s="224"/>
      <c r="R232" s="225">
        <f t="shared" si="83"/>
        <v>0</v>
      </c>
    </row>
    <row r="233" spans="2:23" x14ac:dyDescent="0.3">
      <c r="B233" s="239"/>
      <c r="C233" s="239"/>
      <c r="D233" s="223">
        <f t="shared" si="78"/>
        <v>0</v>
      </c>
      <c r="E233" s="224"/>
      <c r="F233" s="225">
        <f t="shared" si="79"/>
        <v>0</v>
      </c>
      <c r="H233" s="239"/>
      <c r="I233" s="239"/>
      <c r="J233" s="223">
        <f t="shared" si="80"/>
        <v>0</v>
      </c>
      <c r="K233" s="224"/>
      <c r="L233" s="225">
        <f t="shared" si="81"/>
        <v>0</v>
      </c>
      <c r="N233" s="239"/>
      <c r="O233" s="239"/>
      <c r="P233" s="223">
        <f t="shared" si="82"/>
        <v>0</v>
      </c>
      <c r="Q233" s="224"/>
      <c r="R233" s="225">
        <f t="shared" si="83"/>
        <v>0</v>
      </c>
    </row>
    <row r="234" spans="2:23" x14ac:dyDescent="0.3">
      <c r="B234" s="240"/>
      <c r="C234" s="240"/>
      <c r="D234" s="223">
        <f t="shared" si="78"/>
        <v>0</v>
      </c>
      <c r="E234" s="224"/>
      <c r="F234" s="225">
        <f t="shared" si="79"/>
        <v>0</v>
      </c>
      <c r="H234" s="240"/>
      <c r="I234" s="240"/>
      <c r="J234" s="223">
        <f t="shared" si="80"/>
        <v>0</v>
      </c>
      <c r="K234" s="224"/>
      <c r="L234" s="225">
        <f t="shared" si="81"/>
        <v>0</v>
      </c>
      <c r="N234" s="240"/>
      <c r="O234" s="240"/>
      <c r="P234" s="223">
        <f t="shared" si="82"/>
        <v>0</v>
      </c>
      <c r="Q234" s="224"/>
      <c r="R234" s="225">
        <f t="shared" si="83"/>
        <v>0</v>
      </c>
    </row>
    <row r="235" spans="2:23" x14ac:dyDescent="0.3">
      <c r="B235" s="240"/>
      <c r="C235" s="240"/>
      <c r="D235" s="223">
        <f t="shared" si="78"/>
        <v>0</v>
      </c>
      <c r="E235" s="224"/>
      <c r="F235" s="225">
        <f t="shared" si="79"/>
        <v>0</v>
      </c>
      <c r="H235" s="240"/>
      <c r="I235" s="240"/>
      <c r="J235" s="223">
        <f t="shared" si="80"/>
        <v>0</v>
      </c>
      <c r="K235" s="224"/>
      <c r="L235" s="225">
        <f t="shared" si="81"/>
        <v>0</v>
      </c>
      <c r="N235" s="240"/>
      <c r="O235" s="240"/>
      <c r="P235" s="223">
        <f t="shared" si="82"/>
        <v>0</v>
      </c>
      <c r="Q235" s="224"/>
      <c r="R235" s="225">
        <f t="shared" si="83"/>
        <v>0</v>
      </c>
    </row>
    <row r="236" spans="2:23" x14ac:dyDescent="0.3">
      <c r="B236" s="240"/>
      <c r="C236" s="240"/>
      <c r="D236" s="223">
        <f t="shared" si="78"/>
        <v>0</v>
      </c>
      <c r="E236" s="224"/>
      <c r="F236" s="225">
        <f t="shared" si="79"/>
        <v>0</v>
      </c>
      <c r="H236" s="240"/>
      <c r="I236" s="240"/>
      <c r="J236" s="223">
        <f t="shared" si="80"/>
        <v>0</v>
      </c>
      <c r="K236" s="224"/>
      <c r="L236" s="225">
        <f t="shared" si="81"/>
        <v>0</v>
      </c>
      <c r="N236" s="240"/>
      <c r="O236" s="240"/>
      <c r="P236" s="223">
        <f t="shared" si="82"/>
        <v>0</v>
      </c>
      <c r="Q236" s="224"/>
      <c r="R236" s="225">
        <f t="shared" si="83"/>
        <v>0</v>
      </c>
    </row>
    <row r="237" spans="2:23" ht="4.5" customHeight="1" x14ac:dyDescent="0.3">
      <c r="H237" s="243"/>
      <c r="I237" s="243"/>
    </row>
    <row r="238" spans="2:23" x14ac:dyDescent="0.3">
      <c r="C238" s="227" t="s">
        <v>57</v>
      </c>
      <c r="D238" s="241">
        <f>SUM(D228:D236)</f>
        <v>0</v>
      </c>
      <c r="F238" s="228">
        <f>SUM(F228:F236)</f>
        <v>0</v>
      </c>
      <c r="I238" s="227" t="s">
        <v>57</v>
      </c>
      <c r="J238" s="241">
        <f>SUM(J228:J236)</f>
        <v>0</v>
      </c>
      <c r="L238" s="228">
        <f>SUM(L228:L236)</f>
        <v>0</v>
      </c>
      <c r="O238" s="227" t="s">
        <v>57</v>
      </c>
      <c r="P238" s="241">
        <f>SUM(P228:P236)</f>
        <v>0</v>
      </c>
      <c r="R238" s="228">
        <f>SUM(R228:R236)</f>
        <v>0</v>
      </c>
    </row>
    <row r="239" spans="2:23" ht="3.75" customHeight="1" x14ac:dyDescent="0.3"/>
    <row r="240" spans="2:23" x14ac:dyDescent="0.3">
      <c r="E240" s="229" t="s">
        <v>56</v>
      </c>
      <c r="F240" s="230">
        <f>IF(D238=0,0,F238/D238)</f>
        <v>0</v>
      </c>
      <c r="K240" s="229" t="s">
        <v>56</v>
      </c>
      <c r="L240" s="230">
        <f>IF(J238=0,0,L238/J238)</f>
        <v>0</v>
      </c>
      <c r="Q240" s="229" t="s">
        <v>56</v>
      </c>
      <c r="R240" s="230">
        <f>IF(P238=0,0,R238/P238)</f>
        <v>0</v>
      </c>
    </row>
    <row r="242" spans="2:23" x14ac:dyDescent="0.3">
      <c r="B242" s="238" t="s">
        <v>346</v>
      </c>
      <c r="C242" s="959"/>
      <c r="D242" s="959"/>
      <c r="E242" s="959"/>
      <c r="F242" s="959"/>
      <c r="H242" s="238" t="s">
        <v>346</v>
      </c>
      <c r="I242" s="959"/>
      <c r="J242" s="959"/>
      <c r="K242" s="959"/>
      <c r="L242" s="959"/>
      <c r="N242" s="238" t="s">
        <v>346</v>
      </c>
      <c r="O242" s="959"/>
      <c r="P242" s="959"/>
      <c r="Q242" s="959"/>
      <c r="R242" s="959"/>
      <c r="U242" s="225" t="str">
        <f>IF(C242&gt;"",C242,"")</f>
        <v/>
      </c>
      <c r="V242" s="225" t="str">
        <f>IF(I242&gt;"",I242,"")</f>
        <v/>
      </c>
      <c r="W242" s="225" t="str">
        <f>IF(O242&gt;"",O242,"")</f>
        <v/>
      </c>
    </row>
    <row r="243" spans="2:23" ht="4.5" customHeight="1" x14ac:dyDescent="0.3"/>
    <row r="244" spans="2:23" x14ac:dyDescent="0.3">
      <c r="B244" s="219" t="s">
        <v>339</v>
      </c>
      <c r="C244" s="219" t="s">
        <v>340</v>
      </c>
      <c r="D244" s="220"/>
      <c r="E244" s="221" t="s">
        <v>341</v>
      </c>
      <c r="F244" s="220"/>
      <c r="H244" s="219" t="s">
        <v>339</v>
      </c>
      <c r="I244" s="219" t="s">
        <v>340</v>
      </c>
      <c r="J244" s="220"/>
      <c r="K244" s="221" t="s">
        <v>341</v>
      </c>
      <c r="L244" s="220"/>
      <c r="N244" s="219" t="s">
        <v>339</v>
      </c>
      <c r="O244" s="219" t="s">
        <v>340</v>
      </c>
      <c r="P244" s="220"/>
      <c r="Q244" s="221" t="s">
        <v>341</v>
      </c>
      <c r="R244" s="220"/>
    </row>
    <row r="245" spans="2:23" x14ac:dyDescent="0.3">
      <c r="B245" s="239"/>
      <c r="C245" s="239"/>
      <c r="D245" s="223">
        <f t="shared" ref="D245:D253" si="84">IF(C245="",0,C245-B245+1)</f>
        <v>0</v>
      </c>
      <c r="E245" s="224"/>
      <c r="F245" s="225">
        <f t="shared" ref="F245:F253" si="85">+D245*E245</f>
        <v>0</v>
      </c>
      <c r="H245" s="239"/>
      <c r="I245" s="239"/>
      <c r="J245" s="223">
        <f t="shared" ref="J245:J253" si="86">IF(I245="",0,I245-H245+1)</f>
        <v>0</v>
      </c>
      <c r="K245" s="224"/>
      <c r="L245" s="225">
        <f t="shared" ref="L245:L253" si="87">+J245*K245</f>
        <v>0</v>
      </c>
      <c r="N245" s="239"/>
      <c r="O245" s="239"/>
      <c r="P245" s="223">
        <f t="shared" ref="P245:P253" si="88">IF(O245="",0,O245-N245+1)</f>
        <v>0</v>
      </c>
      <c r="Q245" s="224"/>
      <c r="R245" s="225">
        <f t="shared" ref="R245:R253" si="89">+P245*Q245</f>
        <v>0</v>
      </c>
    </row>
    <row r="246" spans="2:23" x14ac:dyDescent="0.3">
      <c r="B246" s="239"/>
      <c r="C246" s="239"/>
      <c r="D246" s="223">
        <f t="shared" si="84"/>
        <v>0</v>
      </c>
      <c r="E246" s="224"/>
      <c r="F246" s="225">
        <f t="shared" si="85"/>
        <v>0</v>
      </c>
      <c r="H246" s="239"/>
      <c r="I246" s="239"/>
      <c r="J246" s="223">
        <f t="shared" si="86"/>
        <v>0</v>
      </c>
      <c r="K246" s="224"/>
      <c r="L246" s="225">
        <f t="shared" si="87"/>
        <v>0</v>
      </c>
      <c r="N246" s="239"/>
      <c r="O246" s="239"/>
      <c r="P246" s="223">
        <f t="shared" si="88"/>
        <v>0</v>
      </c>
      <c r="Q246" s="224"/>
      <c r="R246" s="225">
        <f t="shared" si="89"/>
        <v>0</v>
      </c>
    </row>
    <row r="247" spans="2:23" x14ac:dyDescent="0.3">
      <c r="B247" s="239"/>
      <c r="C247" s="239"/>
      <c r="D247" s="223">
        <f t="shared" si="84"/>
        <v>0</v>
      </c>
      <c r="E247" s="224"/>
      <c r="F247" s="225">
        <f t="shared" si="85"/>
        <v>0</v>
      </c>
      <c r="H247" s="239"/>
      <c r="I247" s="239"/>
      <c r="J247" s="223">
        <f t="shared" si="86"/>
        <v>0</v>
      </c>
      <c r="K247" s="224"/>
      <c r="L247" s="225">
        <f t="shared" si="87"/>
        <v>0</v>
      </c>
      <c r="N247" s="239"/>
      <c r="O247" s="239"/>
      <c r="P247" s="223">
        <f t="shared" si="88"/>
        <v>0</v>
      </c>
      <c r="Q247" s="224"/>
      <c r="R247" s="225">
        <f t="shared" si="89"/>
        <v>0</v>
      </c>
    </row>
    <row r="248" spans="2:23" x14ac:dyDescent="0.3">
      <c r="B248" s="239"/>
      <c r="C248" s="239"/>
      <c r="D248" s="223">
        <f t="shared" si="84"/>
        <v>0</v>
      </c>
      <c r="E248" s="224"/>
      <c r="F248" s="225">
        <f t="shared" si="85"/>
        <v>0</v>
      </c>
      <c r="H248" s="239"/>
      <c r="I248" s="239"/>
      <c r="J248" s="223">
        <f t="shared" si="86"/>
        <v>0</v>
      </c>
      <c r="K248" s="224"/>
      <c r="L248" s="225">
        <f t="shared" si="87"/>
        <v>0</v>
      </c>
      <c r="N248" s="239"/>
      <c r="O248" s="239"/>
      <c r="P248" s="223">
        <f t="shared" si="88"/>
        <v>0</v>
      </c>
      <c r="Q248" s="224"/>
      <c r="R248" s="225">
        <f t="shared" si="89"/>
        <v>0</v>
      </c>
    </row>
    <row r="249" spans="2:23" x14ac:dyDescent="0.3">
      <c r="B249" s="239"/>
      <c r="C249" s="239"/>
      <c r="D249" s="223">
        <f t="shared" si="84"/>
        <v>0</v>
      </c>
      <c r="E249" s="224"/>
      <c r="F249" s="225">
        <f t="shared" si="85"/>
        <v>0</v>
      </c>
      <c r="H249" s="239"/>
      <c r="I249" s="239"/>
      <c r="J249" s="223">
        <f t="shared" si="86"/>
        <v>0</v>
      </c>
      <c r="K249" s="224"/>
      <c r="L249" s="225">
        <f t="shared" si="87"/>
        <v>0</v>
      </c>
      <c r="N249" s="239"/>
      <c r="O249" s="239"/>
      <c r="P249" s="223">
        <f t="shared" si="88"/>
        <v>0</v>
      </c>
      <c r="Q249" s="224"/>
      <c r="R249" s="225">
        <f t="shared" si="89"/>
        <v>0</v>
      </c>
    </row>
    <row r="250" spans="2:23" x14ac:dyDescent="0.3">
      <c r="B250" s="239"/>
      <c r="C250" s="239"/>
      <c r="D250" s="223">
        <f t="shared" si="84"/>
        <v>0</v>
      </c>
      <c r="E250" s="224"/>
      <c r="F250" s="225">
        <f t="shared" si="85"/>
        <v>0</v>
      </c>
      <c r="H250" s="239"/>
      <c r="I250" s="239"/>
      <c r="J250" s="223">
        <f t="shared" si="86"/>
        <v>0</v>
      </c>
      <c r="K250" s="224"/>
      <c r="L250" s="225">
        <f t="shared" si="87"/>
        <v>0</v>
      </c>
      <c r="N250" s="239"/>
      <c r="O250" s="239"/>
      <c r="P250" s="223">
        <f t="shared" si="88"/>
        <v>0</v>
      </c>
      <c r="Q250" s="224"/>
      <c r="R250" s="225">
        <f t="shared" si="89"/>
        <v>0</v>
      </c>
    </row>
    <row r="251" spans="2:23" x14ac:dyDescent="0.3">
      <c r="B251" s="240"/>
      <c r="C251" s="240"/>
      <c r="D251" s="223">
        <f t="shared" si="84"/>
        <v>0</v>
      </c>
      <c r="E251" s="224"/>
      <c r="F251" s="225">
        <f t="shared" si="85"/>
        <v>0</v>
      </c>
      <c r="H251" s="240"/>
      <c r="I251" s="240"/>
      <c r="J251" s="223">
        <f t="shared" si="86"/>
        <v>0</v>
      </c>
      <c r="K251" s="224"/>
      <c r="L251" s="225">
        <f t="shared" si="87"/>
        <v>0</v>
      </c>
      <c r="N251" s="240"/>
      <c r="O251" s="240"/>
      <c r="P251" s="223">
        <f t="shared" si="88"/>
        <v>0</v>
      </c>
      <c r="Q251" s="224"/>
      <c r="R251" s="225">
        <f t="shared" si="89"/>
        <v>0</v>
      </c>
    </row>
    <row r="252" spans="2:23" x14ac:dyDescent="0.3">
      <c r="B252" s="240"/>
      <c r="C252" s="240"/>
      <c r="D252" s="223">
        <f t="shared" si="84"/>
        <v>0</v>
      </c>
      <c r="E252" s="224"/>
      <c r="F252" s="225">
        <f t="shared" si="85"/>
        <v>0</v>
      </c>
      <c r="H252" s="240"/>
      <c r="I252" s="240"/>
      <c r="J252" s="223">
        <f t="shared" si="86"/>
        <v>0</v>
      </c>
      <c r="K252" s="224"/>
      <c r="L252" s="225">
        <f t="shared" si="87"/>
        <v>0</v>
      </c>
      <c r="N252" s="240"/>
      <c r="O252" s="240"/>
      <c r="P252" s="223">
        <f t="shared" si="88"/>
        <v>0</v>
      </c>
      <c r="Q252" s="224"/>
      <c r="R252" s="225">
        <f t="shared" si="89"/>
        <v>0</v>
      </c>
    </row>
    <row r="253" spans="2:23" x14ac:dyDescent="0.3">
      <c r="B253" s="240"/>
      <c r="C253" s="240"/>
      <c r="D253" s="223">
        <f t="shared" si="84"/>
        <v>0</v>
      </c>
      <c r="E253" s="224"/>
      <c r="F253" s="225">
        <f t="shared" si="85"/>
        <v>0</v>
      </c>
      <c r="H253" s="240"/>
      <c r="I253" s="240"/>
      <c r="J253" s="223">
        <f t="shared" si="86"/>
        <v>0</v>
      </c>
      <c r="K253" s="224"/>
      <c r="L253" s="225">
        <f t="shared" si="87"/>
        <v>0</v>
      </c>
      <c r="N253" s="240"/>
      <c r="O253" s="240"/>
      <c r="P253" s="223">
        <f t="shared" si="88"/>
        <v>0</v>
      </c>
      <c r="Q253" s="224"/>
      <c r="R253" s="225">
        <f t="shared" si="89"/>
        <v>0</v>
      </c>
    </row>
    <row r="254" spans="2:23" ht="4.5" customHeight="1" x14ac:dyDescent="0.3"/>
    <row r="255" spans="2:23" x14ac:dyDescent="0.3">
      <c r="C255" s="227" t="s">
        <v>57</v>
      </c>
      <c r="D255" s="241">
        <f>SUM(D245:D253)</f>
        <v>0</v>
      </c>
      <c r="F255" s="228">
        <f>SUM(F245:F253)</f>
        <v>0</v>
      </c>
      <c r="I255" s="227" t="s">
        <v>57</v>
      </c>
      <c r="J255" s="241">
        <f>SUM(J245:J253)</f>
        <v>0</v>
      </c>
      <c r="L255" s="228">
        <f>SUM(L245:L253)</f>
        <v>0</v>
      </c>
      <c r="O255" s="227" t="s">
        <v>57</v>
      </c>
      <c r="P255" s="241">
        <f>SUM(P245:P253)</f>
        <v>0</v>
      </c>
      <c r="R255" s="228">
        <f>SUM(R245:R253)</f>
        <v>0</v>
      </c>
    </row>
    <row r="256" spans="2:23" ht="3.75" customHeight="1" x14ac:dyDescent="0.3"/>
    <row r="257" spans="2:23" x14ac:dyDescent="0.3">
      <c r="E257" s="229" t="s">
        <v>56</v>
      </c>
      <c r="F257" s="230">
        <f>IF(D255=0,0,F255/D255)</f>
        <v>0</v>
      </c>
      <c r="K257" s="229" t="s">
        <v>56</v>
      </c>
      <c r="L257" s="230">
        <f>IF(J255=0,0,L255/J255)</f>
        <v>0</v>
      </c>
      <c r="Q257" s="229" t="s">
        <v>56</v>
      </c>
      <c r="R257" s="230">
        <f>IF(P255=0,0,R255/P255)</f>
        <v>0</v>
      </c>
    </row>
    <row r="259" spans="2:23" x14ac:dyDescent="0.3">
      <c r="B259" s="238" t="s">
        <v>346</v>
      </c>
      <c r="C259" s="959"/>
      <c r="D259" s="959"/>
      <c r="E259" s="959"/>
      <c r="F259" s="959"/>
      <c r="H259" s="238" t="s">
        <v>346</v>
      </c>
      <c r="I259" s="959"/>
      <c r="J259" s="959"/>
      <c r="K259" s="959"/>
      <c r="L259" s="959"/>
      <c r="N259" s="238" t="s">
        <v>346</v>
      </c>
      <c r="O259" s="959"/>
      <c r="P259" s="959"/>
      <c r="Q259" s="959"/>
      <c r="R259" s="959"/>
      <c r="U259" s="225" t="str">
        <f>IF(C259&gt;"",C259,"")</f>
        <v/>
      </c>
      <c r="V259" s="225" t="str">
        <f>IF(I259&gt;"",I259,"")</f>
        <v/>
      </c>
      <c r="W259" s="225" t="str">
        <f>IF(O259&gt;"",O259,"")</f>
        <v/>
      </c>
    </row>
    <row r="260" spans="2:23" ht="4.5" customHeight="1" x14ac:dyDescent="0.3"/>
    <row r="261" spans="2:23" x14ac:dyDescent="0.3">
      <c r="B261" s="219" t="s">
        <v>339</v>
      </c>
      <c r="C261" s="219" t="s">
        <v>340</v>
      </c>
      <c r="D261" s="220"/>
      <c r="E261" s="221" t="s">
        <v>341</v>
      </c>
      <c r="F261" s="220"/>
      <c r="H261" s="219" t="s">
        <v>339</v>
      </c>
      <c r="I261" s="219" t="s">
        <v>340</v>
      </c>
      <c r="J261" s="220"/>
      <c r="K261" s="221" t="s">
        <v>341</v>
      </c>
      <c r="L261" s="220"/>
      <c r="N261" s="219" t="s">
        <v>339</v>
      </c>
      <c r="O261" s="219" t="s">
        <v>340</v>
      </c>
      <c r="P261" s="220"/>
      <c r="Q261" s="221" t="s">
        <v>341</v>
      </c>
      <c r="R261" s="220"/>
    </row>
    <row r="262" spans="2:23" x14ac:dyDescent="0.3">
      <c r="B262" s="239"/>
      <c r="C262" s="239"/>
      <c r="D262" s="223">
        <f t="shared" ref="D262:D270" si="90">IF(C262="",0,C262-B262+1)</f>
        <v>0</v>
      </c>
      <c r="E262" s="224"/>
      <c r="F262" s="225">
        <f t="shared" ref="F262:F270" si="91">+D262*E262</f>
        <v>0</v>
      </c>
      <c r="H262" s="239"/>
      <c r="I262" s="239"/>
      <c r="J262" s="223">
        <f t="shared" ref="J262:J270" si="92">IF(I262="",0,I262-H262+1)</f>
        <v>0</v>
      </c>
      <c r="K262" s="224"/>
      <c r="L262" s="225">
        <f t="shared" ref="L262:L270" si="93">+J262*K262</f>
        <v>0</v>
      </c>
      <c r="N262" s="239"/>
      <c r="O262" s="239"/>
      <c r="P262" s="223">
        <f t="shared" ref="P262:P270" si="94">IF(O262="",0,O262-N262+1)</f>
        <v>0</v>
      </c>
      <c r="Q262" s="224"/>
      <c r="R262" s="225">
        <f t="shared" ref="R262:R270" si="95">+P262*Q262</f>
        <v>0</v>
      </c>
    </row>
    <row r="263" spans="2:23" x14ac:dyDescent="0.3">
      <c r="B263" s="239"/>
      <c r="C263" s="239"/>
      <c r="D263" s="223">
        <f t="shared" si="90"/>
        <v>0</v>
      </c>
      <c r="E263" s="224"/>
      <c r="F263" s="225">
        <f t="shared" si="91"/>
        <v>0</v>
      </c>
      <c r="H263" s="239"/>
      <c r="I263" s="239"/>
      <c r="J263" s="223">
        <f t="shared" si="92"/>
        <v>0</v>
      </c>
      <c r="K263" s="224"/>
      <c r="L263" s="225">
        <f t="shared" si="93"/>
        <v>0</v>
      </c>
      <c r="N263" s="239"/>
      <c r="O263" s="239"/>
      <c r="P263" s="223">
        <f t="shared" si="94"/>
        <v>0</v>
      </c>
      <c r="Q263" s="224"/>
      <c r="R263" s="225">
        <f t="shared" si="95"/>
        <v>0</v>
      </c>
    </row>
    <row r="264" spans="2:23" x14ac:dyDescent="0.3">
      <c r="B264" s="239"/>
      <c r="C264" s="239"/>
      <c r="D264" s="223">
        <f t="shared" si="90"/>
        <v>0</v>
      </c>
      <c r="E264" s="224"/>
      <c r="F264" s="225">
        <f t="shared" si="91"/>
        <v>0</v>
      </c>
      <c r="H264" s="239"/>
      <c r="I264" s="239"/>
      <c r="J264" s="223">
        <f t="shared" si="92"/>
        <v>0</v>
      </c>
      <c r="K264" s="224"/>
      <c r="L264" s="225">
        <f t="shared" si="93"/>
        <v>0</v>
      </c>
      <c r="N264" s="239"/>
      <c r="O264" s="239"/>
      <c r="P264" s="223">
        <f t="shared" si="94"/>
        <v>0</v>
      </c>
      <c r="Q264" s="224"/>
      <c r="R264" s="225">
        <f t="shared" si="95"/>
        <v>0</v>
      </c>
    </row>
    <row r="265" spans="2:23" x14ac:dyDescent="0.3">
      <c r="B265" s="239"/>
      <c r="C265" s="239"/>
      <c r="D265" s="223">
        <f t="shared" si="90"/>
        <v>0</v>
      </c>
      <c r="E265" s="224"/>
      <c r="F265" s="225">
        <f t="shared" si="91"/>
        <v>0</v>
      </c>
      <c r="H265" s="239"/>
      <c r="I265" s="239"/>
      <c r="J265" s="223">
        <f t="shared" si="92"/>
        <v>0</v>
      </c>
      <c r="K265" s="224"/>
      <c r="L265" s="225">
        <f t="shared" si="93"/>
        <v>0</v>
      </c>
      <c r="N265" s="239"/>
      <c r="O265" s="239"/>
      <c r="P265" s="223">
        <f t="shared" si="94"/>
        <v>0</v>
      </c>
      <c r="Q265" s="224"/>
      <c r="R265" s="225">
        <f t="shared" si="95"/>
        <v>0</v>
      </c>
    </row>
    <row r="266" spans="2:23" x14ac:dyDescent="0.3">
      <c r="B266" s="239"/>
      <c r="C266" s="239"/>
      <c r="D266" s="223">
        <f t="shared" si="90"/>
        <v>0</v>
      </c>
      <c r="E266" s="224"/>
      <c r="F266" s="225">
        <f t="shared" si="91"/>
        <v>0</v>
      </c>
      <c r="H266" s="239"/>
      <c r="I266" s="239"/>
      <c r="J266" s="223">
        <f t="shared" si="92"/>
        <v>0</v>
      </c>
      <c r="K266" s="224"/>
      <c r="L266" s="225">
        <f t="shared" si="93"/>
        <v>0</v>
      </c>
      <c r="N266" s="239"/>
      <c r="O266" s="239"/>
      <c r="P266" s="223">
        <f t="shared" si="94"/>
        <v>0</v>
      </c>
      <c r="Q266" s="224"/>
      <c r="R266" s="225">
        <f t="shared" si="95"/>
        <v>0</v>
      </c>
    </row>
    <row r="267" spans="2:23" x14ac:dyDescent="0.3">
      <c r="B267" s="239"/>
      <c r="C267" s="239"/>
      <c r="D267" s="223">
        <f t="shared" si="90"/>
        <v>0</v>
      </c>
      <c r="E267" s="224"/>
      <c r="F267" s="225">
        <f t="shared" si="91"/>
        <v>0</v>
      </c>
      <c r="H267" s="239"/>
      <c r="I267" s="239"/>
      <c r="J267" s="223">
        <f t="shared" si="92"/>
        <v>0</v>
      </c>
      <c r="K267" s="224"/>
      <c r="L267" s="225">
        <f t="shared" si="93"/>
        <v>0</v>
      </c>
      <c r="N267" s="239"/>
      <c r="O267" s="239"/>
      <c r="P267" s="223">
        <f t="shared" si="94"/>
        <v>0</v>
      </c>
      <c r="Q267" s="224"/>
      <c r="R267" s="225">
        <f t="shared" si="95"/>
        <v>0</v>
      </c>
    </row>
    <row r="268" spans="2:23" x14ac:dyDescent="0.3">
      <c r="B268" s="240"/>
      <c r="C268" s="240"/>
      <c r="D268" s="223">
        <f t="shared" si="90"/>
        <v>0</v>
      </c>
      <c r="E268" s="224"/>
      <c r="F268" s="225">
        <f t="shared" si="91"/>
        <v>0</v>
      </c>
      <c r="H268" s="240"/>
      <c r="I268" s="240"/>
      <c r="J268" s="223">
        <f t="shared" si="92"/>
        <v>0</v>
      </c>
      <c r="K268" s="224"/>
      <c r="L268" s="225">
        <f t="shared" si="93"/>
        <v>0</v>
      </c>
      <c r="N268" s="240"/>
      <c r="O268" s="240"/>
      <c r="P268" s="223">
        <f t="shared" si="94"/>
        <v>0</v>
      </c>
      <c r="Q268" s="224"/>
      <c r="R268" s="225">
        <f t="shared" si="95"/>
        <v>0</v>
      </c>
    </row>
    <row r="269" spans="2:23" x14ac:dyDescent="0.3">
      <c r="B269" s="240"/>
      <c r="C269" s="240"/>
      <c r="D269" s="223">
        <f t="shared" si="90"/>
        <v>0</v>
      </c>
      <c r="E269" s="224"/>
      <c r="F269" s="225">
        <f t="shared" si="91"/>
        <v>0</v>
      </c>
      <c r="H269" s="240"/>
      <c r="I269" s="240"/>
      <c r="J269" s="223">
        <f t="shared" si="92"/>
        <v>0</v>
      </c>
      <c r="K269" s="224"/>
      <c r="L269" s="225">
        <f t="shared" si="93"/>
        <v>0</v>
      </c>
      <c r="N269" s="240"/>
      <c r="O269" s="240"/>
      <c r="P269" s="223">
        <f t="shared" si="94"/>
        <v>0</v>
      </c>
      <c r="Q269" s="224"/>
      <c r="R269" s="225">
        <f t="shared" si="95"/>
        <v>0</v>
      </c>
    </row>
    <row r="270" spans="2:23" x14ac:dyDescent="0.3">
      <c r="B270" s="240"/>
      <c r="C270" s="240"/>
      <c r="D270" s="223">
        <f t="shared" si="90"/>
        <v>0</v>
      </c>
      <c r="E270" s="224"/>
      <c r="F270" s="225">
        <f t="shared" si="91"/>
        <v>0</v>
      </c>
      <c r="H270" s="240"/>
      <c r="I270" s="240"/>
      <c r="J270" s="223">
        <f t="shared" si="92"/>
        <v>0</v>
      </c>
      <c r="K270" s="224"/>
      <c r="L270" s="225">
        <f t="shared" si="93"/>
        <v>0</v>
      </c>
      <c r="N270" s="240"/>
      <c r="O270" s="240"/>
      <c r="P270" s="223">
        <f t="shared" si="94"/>
        <v>0</v>
      </c>
      <c r="Q270" s="224"/>
      <c r="R270" s="225">
        <f t="shared" si="95"/>
        <v>0</v>
      </c>
    </row>
    <row r="271" spans="2:23" ht="4.5" customHeight="1" x14ac:dyDescent="0.3"/>
    <row r="272" spans="2:23" x14ac:dyDescent="0.3">
      <c r="C272" s="227" t="s">
        <v>57</v>
      </c>
      <c r="D272" s="241">
        <f>SUM(D262:D270)</f>
        <v>0</v>
      </c>
      <c r="F272" s="228">
        <f>SUM(F262:F270)</f>
        <v>0</v>
      </c>
      <c r="I272" s="227" t="s">
        <v>57</v>
      </c>
      <c r="J272" s="241">
        <f>SUM(J262:J270)</f>
        <v>0</v>
      </c>
      <c r="L272" s="228">
        <f>SUM(L262:L270)</f>
        <v>0</v>
      </c>
      <c r="O272" s="227" t="s">
        <v>57</v>
      </c>
      <c r="P272" s="241">
        <f>SUM(P262:P270)</f>
        <v>0</v>
      </c>
      <c r="R272" s="228">
        <f>SUM(R262:R270)</f>
        <v>0</v>
      </c>
    </row>
    <row r="273" spans="2:23" ht="3.75" customHeight="1" x14ac:dyDescent="0.3"/>
    <row r="274" spans="2:23" x14ac:dyDescent="0.3">
      <c r="E274" s="229" t="s">
        <v>56</v>
      </c>
      <c r="F274" s="230">
        <f>IF(D272=0,0,F272/D272)</f>
        <v>0</v>
      </c>
      <c r="K274" s="229" t="s">
        <v>56</v>
      </c>
      <c r="L274" s="230">
        <f>IF(J272=0,0,L272/J272)</f>
        <v>0</v>
      </c>
      <c r="Q274" s="229" t="s">
        <v>56</v>
      </c>
      <c r="R274" s="230">
        <f>IF(P272=0,0,R272/P272)</f>
        <v>0</v>
      </c>
    </row>
    <row r="276" spans="2:23" x14ac:dyDescent="0.3">
      <c r="B276" s="238" t="s">
        <v>346</v>
      </c>
      <c r="C276" s="959"/>
      <c r="D276" s="959"/>
      <c r="E276" s="959"/>
      <c r="F276" s="959"/>
      <c r="H276" s="238" t="s">
        <v>346</v>
      </c>
      <c r="I276" s="959"/>
      <c r="J276" s="959"/>
      <c r="K276" s="959"/>
      <c r="L276" s="959"/>
      <c r="N276" s="238" t="s">
        <v>346</v>
      </c>
      <c r="O276" s="959"/>
      <c r="P276" s="959"/>
      <c r="Q276" s="959"/>
      <c r="R276" s="959"/>
      <c r="U276" s="225" t="str">
        <f>IF(C276&gt;"",C276,"")</f>
        <v/>
      </c>
      <c r="V276" s="225" t="str">
        <f>IF(I276&gt;"",I276,"")</f>
        <v/>
      </c>
      <c r="W276" s="225" t="str">
        <f>IF(O276&gt;"",O276,"")</f>
        <v/>
      </c>
    </row>
    <row r="277" spans="2:23" ht="4.5" customHeight="1" x14ac:dyDescent="0.3"/>
    <row r="278" spans="2:23" x14ac:dyDescent="0.3">
      <c r="B278" s="219" t="s">
        <v>339</v>
      </c>
      <c r="C278" s="219" t="s">
        <v>340</v>
      </c>
      <c r="D278" s="220"/>
      <c r="E278" s="221" t="s">
        <v>341</v>
      </c>
      <c r="F278" s="220"/>
      <c r="H278" s="219" t="s">
        <v>339</v>
      </c>
      <c r="I278" s="219" t="s">
        <v>340</v>
      </c>
      <c r="J278" s="220"/>
      <c r="K278" s="221" t="s">
        <v>341</v>
      </c>
      <c r="L278" s="220"/>
      <c r="N278" s="219" t="s">
        <v>339</v>
      </c>
      <c r="O278" s="219" t="s">
        <v>340</v>
      </c>
      <c r="P278" s="220"/>
      <c r="Q278" s="221" t="s">
        <v>341</v>
      </c>
      <c r="R278" s="220"/>
    </row>
    <row r="279" spans="2:23" x14ac:dyDescent="0.3">
      <c r="B279" s="239"/>
      <c r="C279" s="239"/>
      <c r="D279" s="223">
        <f t="shared" ref="D279:D287" si="96">IF(C279="",0,C279-B279+1)</f>
        <v>0</v>
      </c>
      <c r="E279" s="224"/>
      <c r="F279" s="225">
        <f t="shared" ref="F279:F287" si="97">+D279*E279</f>
        <v>0</v>
      </c>
      <c r="H279" s="239"/>
      <c r="I279" s="239"/>
      <c r="J279" s="223">
        <f t="shared" ref="J279:J287" si="98">IF(I279="",0,I279-H279+1)</f>
        <v>0</v>
      </c>
      <c r="K279" s="224"/>
      <c r="L279" s="225">
        <f t="shared" ref="L279:L287" si="99">+J279*K279</f>
        <v>0</v>
      </c>
      <c r="N279" s="239"/>
      <c r="O279" s="239"/>
      <c r="P279" s="223">
        <f t="shared" ref="P279:P287" si="100">IF(O279="",0,O279-N279+1)</f>
        <v>0</v>
      </c>
      <c r="Q279" s="224"/>
      <c r="R279" s="225">
        <f t="shared" ref="R279:R287" si="101">+P279*Q279</f>
        <v>0</v>
      </c>
    </row>
    <row r="280" spans="2:23" x14ac:dyDescent="0.3">
      <c r="B280" s="239"/>
      <c r="C280" s="239"/>
      <c r="D280" s="223">
        <f t="shared" si="96"/>
        <v>0</v>
      </c>
      <c r="E280" s="224"/>
      <c r="F280" s="225">
        <f t="shared" si="97"/>
        <v>0</v>
      </c>
      <c r="H280" s="239"/>
      <c r="I280" s="239"/>
      <c r="J280" s="223">
        <f t="shared" si="98"/>
        <v>0</v>
      </c>
      <c r="K280" s="224"/>
      <c r="L280" s="225">
        <f t="shared" si="99"/>
        <v>0</v>
      </c>
      <c r="N280" s="239"/>
      <c r="O280" s="239"/>
      <c r="P280" s="223">
        <f t="shared" si="100"/>
        <v>0</v>
      </c>
      <c r="Q280" s="224"/>
      <c r="R280" s="225">
        <f t="shared" si="101"/>
        <v>0</v>
      </c>
    </row>
    <row r="281" spans="2:23" x14ac:dyDescent="0.3">
      <c r="B281" s="239"/>
      <c r="C281" s="239"/>
      <c r="D281" s="223">
        <f t="shared" si="96"/>
        <v>0</v>
      </c>
      <c r="E281" s="224"/>
      <c r="F281" s="225">
        <f t="shared" si="97"/>
        <v>0</v>
      </c>
      <c r="H281" s="239"/>
      <c r="I281" s="239"/>
      <c r="J281" s="223">
        <f t="shared" si="98"/>
        <v>0</v>
      </c>
      <c r="K281" s="224"/>
      <c r="L281" s="225">
        <f t="shared" si="99"/>
        <v>0</v>
      </c>
      <c r="N281" s="239"/>
      <c r="O281" s="239"/>
      <c r="P281" s="223">
        <f t="shared" si="100"/>
        <v>0</v>
      </c>
      <c r="Q281" s="224"/>
      <c r="R281" s="225">
        <f t="shared" si="101"/>
        <v>0</v>
      </c>
    </row>
    <row r="282" spans="2:23" x14ac:dyDescent="0.3">
      <c r="B282" s="239"/>
      <c r="C282" s="239"/>
      <c r="D282" s="223">
        <f t="shared" si="96"/>
        <v>0</v>
      </c>
      <c r="E282" s="224"/>
      <c r="F282" s="225">
        <f t="shared" si="97"/>
        <v>0</v>
      </c>
      <c r="H282" s="239"/>
      <c r="I282" s="239"/>
      <c r="J282" s="223">
        <f t="shared" si="98"/>
        <v>0</v>
      </c>
      <c r="K282" s="224"/>
      <c r="L282" s="225">
        <f t="shared" si="99"/>
        <v>0</v>
      </c>
      <c r="N282" s="239"/>
      <c r="O282" s="239"/>
      <c r="P282" s="223">
        <f t="shared" si="100"/>
        <v>0</v>
      </c>
      <c r="Q282" s="224"/>
      <c r="R282" s="225">
        <f t="shared" si="101"/>
        <v>0</v>
      </c>
    </row>
    <row r="283" spans="2:23" x14ac:dyDescent="0.3">
      <c r="B283" s="239"/>
      <c r="C283" s="239"/>
      <c r="D283" s="223">
        <f t="shared" si="96"/>
        <v>0</v>
      </c>
      <c r="E283" s="224"/>
      <c r="F283" s="225">
        <f t="shared" si="97"/>
        <v>0</v>
      </c>
      <c r="H283" s="239"/>
      <c r="I283" s="239"/>
      <c r="J283" s="223">
        <f t="shared" si="98"/>
        <v>0</v>
      </c>
      <c r="K283" s="224"/>
      <c r="L283" s="225">
        <f t="shared" si="99"/>
        <v>0</v>
      </c>
      <c r="N283" s="239"/>
      <c r="O283" s="239"/>
      <c r="P283" s="223">
        <f t="shared" si="100"/>
        <v>0</v>
      </c>
      <c r="Q283" s="224"/>
      <c r="R283" s="225">
        <f t="shared" si="101"/>
        <v>0</v>
      </c>
    </row>
    <row r="284" spans="2:23" x14ac:dyDescent="0.3">
      <c r="B284" s="239"/>
      <c r="C284" s="239"/>
      <c r="D284" s="223">
        <f t="shared" si="96"/>
        <v>0</v>
      </c>
      <c r="E284" s="224"/>
      <c r="F284" s="225">
        <f t="shared" si="97"/>
        <v>0</v>
      </c>
      <c r="H284" s="239"/>
      <c r="I284" s="239"/>
      <c r="J284" s="223">
        <f t="shared" si="98"/>
        <v>0</v>
      </c>
      <c r="K284" s="224"/>
      <c r="L284" s="225">
        <f t="shared" si="99"/>
        <v>0</v>
      </c>
      <c r="N284" s="239"/>
      <c r="O284" s="239"/>
      <c r="P284" s="223">
        <f t="shared" si="100"/>
        <v>0</v>
      </c>
      <c r="Q284" s="224"/>
      <c r="R284" s="225">
        <f t="shared" si="101"/>
        <v>0</v>
      </c>
    </row>
    <row r="285" spans="2:23" x14ac:dyDescent="0.3">
      <c r="B285" s="240"/>
      <c r="C285" s="240"/>
      <c r="D285" s="223">
        <f t="shared" si="96"/>
        <v>0</v>
      </c>
      <c r="E285" s="224"/>
      <c r="F285" s="225">
        <f t="shared" si="97"/>
        <v>0</v>
      </c>
      <c r="H285" s="240"/>
      <c r="I285" s="240"/>
      <c r="J285" s="223">
        <f t="shared" si="98"/>
        <v>0</v>
      </c>
      <c r="K285" s="224"/>
      <c r="L285" s="225">
        <f t="shared" si="99"/>
        <v>0</v>
      </c>
      <c r="N285" s="240"/>
      <c r="O285" s="240"/>
      <c r="P285" s="223">
        <f t="shared" si="100"/>
        <v>0</v>
      </c>
      <c r="Q285" s="224"/>
      <c r="R285" s="225">
        <f t="shared" si="101"/>
        <v>0</v>
      </c>
    </row>
    <row r="286" spans="2:23" x14ac:dyDescent="0.3">
      <c r="B286" s="240"/>
      <c r="C286" s="240"/>
      <c r="D286" s="223">
        <f t="shared" si="96"/>
        <v>0</v>
      </c>
      <c r="E286" s="224"/>
      <c r="F286" s="225">
        <f t="shared" si="97"/>
        <v>0</v>
      </c>
      <c r="H286" s="240"/>
      <c r="I286" s="240"/>
      <c r="J286" s="223">
        <f t="shared" si="98"/>
        <v>0</v>
      </c>
      <c r="K286" s="224"/>
      <c r="L286" s="225">
        <f t="shared" si="99"/>
        <v>0</v>
      </c>
      <c r="N286" s="240"/>
      <c r="O286" s="240"/>
      <c r="P286" s="223">
        <f t="shared" si="100"/>
        <v>0</v>
      </c>
      <c r="Q286" s="224"/>
      <c r="R286" s="225">
        <f t="shared" si="101"/>
        <v>0</v>
      </c>
    </row>
    <row r="287" spans="2:23" x14ac:dyDescent="0.3">
      <c r="B287" s="240"/>
      <c r="C287" s="240"/>
      <c r="D287" s="223">
        <f t="shared" si="96"/>
        <v>0</v>
      </c>
      <c r="E287" s="224"/>
      <c r="F287" s="225">
        <f t="shared" si="97"/>
        <v>0</v>
      </c>
      <c r="H287" s="240"/>
      <c r="I287" s="240"/>
      <c r="J287" s="223">
        <f t="shared" si="98"/>
        <v>0</v>
      </c>
      <c r="K287" s="224"/>
      <c r="L287" s="225">
        <f t="shared" si="99"/>
        <v>0</v>
      </c>
      <c r="N287" s="240"/>
      <c r="O287" s="240"/>
      <c r="P287" s="223">
        <f t="shared" si="100"/>
        <v>0</v>
      </c>
      <c r="Q287" s="224"/>
      <c r="R287" s="225">
        <f t="shared" si="101"/>
        <v>0</v>
      </c>
    </row>
    <row r="288" spans="2:23" ht="4.5" customHeight="1" x14ac:dyDescent="0.3"/>
    <row r="289" spans="2:23" x14ac:dyDescent="0.3">
      <c r="C289" s="227" t="s">
        <v>57</v>
      </c>
      <c r="D289" s="241">
        <f>SUM(D279:D287)</f>
        <v>0</v>
      </c>
      <c r="F289" s="228">
        <f>SUM(F279:F287)</f>
        <v>0</v>
      </c>
      <c r="I289" s="227" t="s">
        <v>57</v>
      </c>
      <c r="J289" s="241">
        <f>SUM(J279:J287)</f>
        <v>0</v>
      </c>
      <c r="L289" s="228">
        <f>SUM(L279:L287)</f>
        <v>0</v>
      </c>
      <c r="O289" s="227" t="s">
        <v>57</v>
      </c>
      <c r="P289" s="241">
        <f>SUM(P279:P287)</f>
        <v>0</v>
      </c>
      <c r="R289" s="228">
        <f>SUM(R279:R287)</f>
        <v>0</v>
      </c>
    </row>
    <row r="290" spans="2:23" ht="3.75" customHeight="1" x14ac:dyDescent="0.3"/>
    <row r="291" spans="2:23" x14ac:dyDescent="0.3">
      <c r="E291" s="229" t="s">
        <v>56</v>
      </c>
      <c r="F291" s="230">
        <f>IF(D289=0,0,F289/D289)</f>
        <v>0</v>
      </c>
      <c r="K291" s="229" t="s">
        <v>56</v>
      </c>
      <c r="L291" s="230">
        <f>IF(J289=0,0,L289/J289)</f>
        <v>0</v>
      </c>
      <c r="Q291" s="229" t="s">
        <v>56</v>
      </c>
      <c r="R291" s="230">
        <f>IF(P289=0,0,R289/P289)</f>
        <v>0</v>
      </c>
    </row>
    <row r="293" spans="2:23" x14ac:dyDescent="0.3">
      <c r="B293" s="238" t="s">
        <v>346</v>
      </c>
      <c r="C293" s="959"/>
      <c r="D293" s="959"/>
      <c r="E293" s="959"/>
      <c r="F293" s="959"/>
      <c r="H293" s="238" t="s">
        <v>346</v>
      </c>
      <c r="I293" s="959"/>
      <c r="J293" s="959"/>
      <c r="K293" s="959"/>
      <c r="L293" s="959"/>
      <c r="N293" s="238" t="s">
        <v>346</v>
      </c>
      <c r="O293" s="959"/>
      <c r="P293" s="959"/>
      <c r="Q293" s="959"/>
      <c r="R293" s="959"/>
      <c r="U293" s="225" t="str">
        <f>IF(C293&gt;"",C293,"")</f>
        <v/>
      </c>
      <c r="V293" s="225" t="str">
        <f>IF(I293&gt;"",I293,"")</f>
        <v/>
      </c>
      <c r="W293" s="225" t="str">
        <f>IF(O293&gt;"",O293,"")</f>
        <v/>
      </c>
    </row>
    <row r="294" spans="2:23" ht="4.5" customHeight="1" x14ac:dyDescent="0.3"/>
    <row r="295" spans="2:23" x14ac:dyDescent="0.3">
      <c r="B295" s="219" t="s">
        <v>339</v>
      </c>
      <c r="C295" s="219" t="s">
        <v>340</v>
      </c>
      <c r="D295" s="220"/>
      <c r="E295" s="221" t="s">
        <v>341</v>
      </c>
      <c r="F295" s="220"/>
      <c r="H295" s="219" t="s">
        <v>339</v>
      </c>
      <c r="I295" s="219" t="s">
        <v>340</v>
      </c>
      <c r="J295" s="220"/>
      <c r="K295" s="221" t="s">
        <v>341</v>
      </c>
      <c r="L295" s="220"/>
      <c r="N295" s="219" t="s">
        <v>339</v>
      </c>
      <c r="O295" s="219" t="s">
        <v>340</v>
      </c>
      <c r="P295" s="220"/>
      <c r="Q295" s="221" t="s">
        <v>341</v>
      </c>
      <c r="R295" s="220"/>
    </row>
    <row r="296" spans="2:23" x14ac:dyDescent="0.3">
      <c r="B296" s="239"/>
      <c r="C296" s="239"/>
      <c r="D296" s="223">
        <f t="shared" ref="D296:D304" si="102">IF(C296="",0,C296-B296+1)</f>
        <v>0</v>
      </c>
      <c r="E296" s="224"/>
      <c r="F296" s="225">
        <f t="shared" ref="F296:F304" si="103">+D296*E296</f>
        <v>0</v>
      </c>
      <c r="H296" s="239"/>
      <c r="I296" s="239"/>
      <c r="J296" s="223">
        <f t="shared" ref="J296:J304" si="104">IF(I296="",0,I296-H296+1)</f>
        <v>0</v>
      </c>
      <c r="K296" s="224"/>
      <c r="L296" s="225">
        <f t="shared" ref="L296:L304" si="105">+J296*K296</f>
        <v>0</v>
      </c>
      <c r="N296" s="239"/>
      <c r="O296" s="239"/>
      <c r="P296" s="223">
        <f t="shared" ref="P296:P304" si="106">IF(O296="",0,O296-N296+1)</f>
        <v>0</v>
      </c>
      <c r="Q296" s="224"/>
      <c r="R296" s="225">
        <f t="shared" ref="R296:R304" si="107">+P296*Q296</f>
        <v>0</v>
      </c>
    </row>
    <row r="297" spans="2:23" x14ac:dyDescent="0.3">
      <c r="B297" s="239"/>
      <c r="C297" s="239"/>
      <c r="D297" s="223">
        <f t="shared" si="102"/>
        <v>0</v>
      </c>
      <c r="E297" s="224"/>
      <c r="F297" s="225">
        <f t="shared" si="103"/>
        <v>0</v>
      </c>
      <c r="H297" s="239"/>
      <c r="I297" s="239"/>
      <c r="J297" s="223">
        <f t="shared" si="104"/>
        <v>0</v>
      </c>
      <c r="K297" s="224"/>
      <c r="L297" s="225">
        <f t="shared" si="105"/>
        <v>0</v>
      </c>
      <c r="N297" s="239"/>
      <c r="O297" s="239"/>
      <c r="P297" s="223">
        <f t="shared" si="106"/>
        <v>0</v>
      </c>
      <c r="Q297" s="224"/>
      <c r="R297" s="225">
        <f t="shared" si="107"/>
        <v>0</v>
      </c>
    </row>
    <row r="298" spans="2:23" x14ac:dyDescent="0.3">
      <c r="B298" s="239"/>
      <c r="C298" s="239"/>
      <c r="D298" s="223">
        <f t="shared" si="102"/>
        <v>0</v>
      </c>
      <c r="E298" s="224"/>
      <c r="F298" s="225">
        <f t="shared" si="103"/>
        <v>0</v>
      </c>
      <c r="H298" s="239"/>
      <c r="I298" s="239"/>
      <c r="J298" s="223">
        <f t="shared" si="104"/>
        <v>0</v>
      </c>
      <c r="K298" s="224"/>
      <c r="L298" s="225">
        <f t="shared" si="105"/>
        <v>0</v>
      </c>
      <c r="N298" s="239"/>
      <c r="O298" s="239"/>
      <c r="P298" s="223">
        <f t="shared" si="106"/>
        <v>0</v>
      </c>
      <c r="Q298" s="224"/>
      <c r="R298" s="225">
        <f t="shared" si="107"/>
        <v>0</v>
      </c>
    </row>
    <row r="299" spans="2:23" x14ac:dyDescent="0.3">
      <c r="B299" s="239"/>
      <c r="C299" s="239"/>
      <c r="D299" s="223">
        <f t="shared" si="102"/>
        <v>0</v>
      </c>
      <c r="E299" s="224"/>
      <c r="F299" s="225">
        <f t="shared" si="103"/>
        <v>0</v>
      </c>
      <c r="H299" s="239"/>
      <c r="I299" s="239"/>
      <c r="J299" s="223">
        <f t="shared" si="104"/>
        <v>0</v>
      </c>
      <c r="K299" s="224"/>
      <c r="L299" s="225">
        <f t="shared" si="105"/>
        <v>0</v>
      </c>
      <c r="N299" s="239"/>
      <c r="O299" s="239"/>
      <c r="P299" s="223">
        <f t="shared" si="106"/>
        <v>0</v>
      </c>
      <c r="Q299" s="224"/>
      <c r="R299" s="225">
        <f t="shared" si="107"/>
        <v>0</v>
      </c>
    </row>
    <row r="300" spans="2:23" x14ac:dyDescent="0.3">
      <c r="B300" s="239"/>
      <c r="C300" s="239"/>
      <c r="D300" s="223">
        <f t="shared" si="102"/>
        <v>0</v>
      </c>
      <c r="E300" s="224"/>
      <c r="F300" s="225">
        <f t="shared" si="103"/>
        <v>0</v>
      </c>
      <c r="H300" s="239"/>
      <c r="I300" s="239"/>
      <c r="J300" s="223">
        <f t="shared" si="104"/>
        <v>0</v>
      </c>
      <c r="K300" s="224"/>
      <c r="L300" s="225">
        <f t="shared" si="105"/>
        <v>0</v>
      </c>
      <c r="N300" s="239"/>
      <c r="O300" s="239"/>
      <c r="P300" s="223">
        <f t="shared" si="106"/>
        <v>0</v>
      </c>
      <c r="Q300" s="224"/>
      <c r="R300" s="225">
        <f t="shared" si="107"/>
        <v>0</v>
      </c>
    </row>
    <row r="301" spans="2:23" x14ac:dyDescent="0.3">
      <c r="B301" s="239"/>
      <c r="C301" s="239"/>
      <c r="D301" s="223">
        <f t="shared" si="102"/>
        <v>0</v>
      </c>
      <c r="E301" s="224"/>
      <c r="F301" s="225">
        <f t="shared" si="103"/>
        <v>0</v>
      </c>
      <c r="H301" s="239"/>
      <c r="I301" s="239"/>
      <c r="J301" s="223">
        <f t="shared" si="104"/>
        <v>0</v>
      </c>
      <c r="K301" s="224"/>
      <c r="L301" s="225">
        <f t="shared" si="105"/>
        <v>0</v>
      </c>
      <c r="N301" s="239"/>
      <c r="O301" s="239"/>
      <c r="P301" s="223">
        <f t="shared" si="106"/>
        <v>0</v>
      </c>
      <c r="Q301" s="224"/>
      <c r="R301" s="225">
        <f t="shared" si="107"/>
        <v>0</v>
      </c>
    </row>
    <row r="302" spans="2:23" x14ac:dyDescent="0.3">
      <c r="B302" s="240"/>
      <c r="C302" s="240"/>
      <c r="D302" s="223">
        <f t="shared" si="102"/>
        <v>0</v>
      </c>
      <c r="E302" s="224"/>
      <c r="F302" s="225">
        <f t="shared" si="103"/>
        <v>0</v>
      </c>
      <c r="H302" s="240"/>
      <c r="I302" s="240"/>
      <c r="J302" s="223">
        <f t="shared" si="104"/>
        <v>0</v>
      </c>
      <c r="K302" s="224"/>
      <c r="L302" s="225">
        <f t="shared" si="105"/>
        <v>0</v>
      </c>
      <c r="N302" s="240"/>
      <c r="O302" s="240"/>
      <c r="P302" s="223">
        <f t="shared" si="106"/>
        <v>0</v>
      </c>
      <c r="Q302" s="224"/>
      <c r="R302" s="225">
        <f t="shared" si="107"/>
        <v>0</v>
      </c>
    </row>
    <row r="303" spans="2:23" x14ac:dyDescent="0.3">
      <c r="B303" s="240"/>
      <c r="C303" s="240"/>
      <c r="D303" s="223">
        <f t="shared" si="102"/>
        <v>0</v>
      </c>
      <c r="E303" s="224"/>
      <c r="F303" s="225">
        <f t="shared" si="103"/>
        <v>0</v>
      </c>
      <c r="H303" s="240"/>
      <c r="I303" s="240"/>
      <c r="J303" s="223">
        <f t="shared" si="104"/>
        <v>0</v>
      </c>
      <c r="K303" s="224"/>
      <c r="L303" s="225">
        <f t="shared" si="105"/>
        <v>0</v>
      </c>
      <c r="N303" s="240"/>
      <c r="O303" s="240"/>
      <c r="P303" s="223">
        <f t="shared" si="106"/>
        <v>0</v>
      </c>
      <c r="Q303" s="224"/>
      <c r="R303" s="225">
        <f t="shared" si="107"/>
        <v>0</v>
      </c>
    </row>
    <row r="304" spans="2:23" x14ac:dyDescent="0.3">
      <c r="B304" s="240"/>
      <c r="C304" s="240"/>
      <c r="D304" s="223">
        <f t="shared" si="102"/>
        <v>0</v>
      </c>
      <c r="E304" s="224"/>
      <c r="F304" s="225">
        <f t="shared" si="103"/>
        <v>0</v>
      </c>
      <c r="H304" s="240"/>
      <c r="I304" s="240"/>
      <c r="J304" s="223">
        <f t="shared" si="104"/>
        <v>0</v>
      </c>
      <c r="K304" s="224"/>
      <c r="L304" s="225">
        <f t="shared" si="105"/>
        <v>0</v>
      </c>
      <c r="N304" s="240"/>
      <c r="O304" s="240"/>
      <c r="P304" s="223">
        <f t="shared" si="106"/>
        <v>0</v>
      </c>
      <c r="Q304" s="224"/>
      <c r="R304" s="225">
        <f t="shared" si="107"/>
        <v>0</v>
      </c>
    </row>
    <row r="305" spans="3:18" ht="4.5" customHeight="1" x14ac:dyDescent="0.3"/>
    <row r="306" spans="3:18" x14ac:dyDescent="0.3">
      <c r="C306" s="227" t="s">
        <v>57</v>
      </c>
      <c r="D306" s="241">
        <f>SUM(D296:D304)</f>
        <v>0</v>
      </c>
      <c r="F306" s="228">
        <f>SUM(F296:F304)</f>
        <v>0</v>
      </c>
      <c r="I306" s="227" t="s">
        <v>57</v>
      </c>
      <c r="J306" s="241">
        <f>SUM(J296:J304)</f>
        <v>0</v>
      </c>
      <c r="L306" s="228">
        <f>SUM(L296:L304)</f>
        <v>0</v>
      </c>
      <c r="O306" s="227" t="s">
        <v>57</v>
      </c>
      <c r="P306" s="241">
        <f>SUM(P296:P304)</f>
        <v>0</v>
      </c>
      <c r="R306" s="228">
        <f>SUM(R296:R304)</f>
        <v>0</v>
      </c>
    </row>
    <row r="307" spans="3:18" ht="3.75" customHeight="1" x14ac:dyDescent="0.3"/>
    <row r="308" spans="3:18" x14ac:dyDescent="0.3">
      <c r="E308" s="229" t="s">
        <v>56</v>
      </c>
      <c r="F308" s="230">
        <f>IF(D306=0,0,F306/D306)</f>
        <v>0</v>
      </c>
      <c r="K308" s="229" t="s">
        <v>56</v>
      </c>
      <c r="L308" s="230">
        <f>IF(J306=0,0,L306/J306)</f>
        <v>0</v>
      </c>
      <c r="Q308" s="229" t="s">
        <v>56</v>
      </c>
      <c r="R308" s="230">
        <f>IF(P306=0,0,R306/P306)</f>
        <v>0</v>
      </c>
    </row>
  </sheetData>
  <sheetProtection sheet="1" objects="1" scenarios="1"/>
  <mergeCells count="56">
    <mergeCell ref="C21:F21"/>
    <mergeCell ref="I21:L21"/>
    <mergeCell ref="O21:R21"/>
    <mergeCell ref="C2:J2"/>
    <mergeCell ref="Q2:R2"/>
    <mergeCell ref="C4:F4"/>
    <mergeCell ref="I4:L4"/>
    <mergeCell ref="O4:R4"/>
    <mergeCell ref="C38:F38"/>
    <mergeCell ref="I38:L38"/>
    <mergeCell ref="O38:R38"/>
    <mergeCell ref="C55:F55"/>
    <mergeCell ref="I55:L55"/>
    <mergeCell ref="O55:R55"/>
    <mergeCell ref="C72:F72"/>
    <mergeCell ref="I72:L72"/>
    <mergeCell ref="O72:R72"/>
    <mergeCell ref="C89:F89"/>
    <mergeCell ref="I89:L89"/>
    <mergeCell ref="O89:R89"/>
    <mergeCell ref="C106:F106"/>
    <mergeCell ref="I106:L106"/>
    <mergeCell ref="O106:R106"/>
    <mergeCell ref="C123:F123"/>
    <mergeCell ref="I123:L123"/>
    <mergeCell ref="O123:R123"/>
    <mergeCell ref="C140:F140"/>
    <mergeCell ref="I140:L140"/>
    <mergeCell ref="O140:R140"/>
    <mergeCell ref="C157:F157"/>
    <mergeCell ref="I157:L157"/>
    <mergeCell ref="O157:R157"/>
    <mergeCell ref="C174:F174"/>
    <mergeCell ref="I174:L174"/>
    <mergeCell ref="O174:R174"/>
    <mergeCell ref="C191:F191"/>
    <mergeCell ref="I191:L191"/>
    <mergeCell ref="O191:R191"/>
    <mergeCell ref="C208:F208"/>
    <mergeCell ref="I208:L208"/>
    <mergeCell ref="O208:R208"/>
    <mergeCell ref="C225:F225"/>
    <mergeCell ref="I225:L225"/>
    <mergeCell ref="O225:R225"/>
    <mergeCell ref="C242:F242"/>
    <mergeCell ref="I242:L242"/>
    <mergeCell ref="O242:R242"/>
    <mergeCell ref="C259:F259"/>
    <mergeCell ref="I259:L259"/>
    <mergeCell ref="O259:R259"/>
    <mergeCell ref="C276:F276"/>
    <mergeCell ref="I276:L276"/>
    <mergeCell ref="O276:R276"/>
    <mergeCell ref="C293:F293"/>
    <mergeCell ref="I293:L293"/>
    <mergeCell ref="O293:R293"/>
  </mergeCells>
  <conditionalFormatting sqref="C4">
    <cfRule type="cellIs" priority="1" stopIfTrue="1" operator="greaterThan">
      <formula>0</formula>
    </cfRule>
  </conditionalFormatting>
  <conditionalFormatting sqref="C21">
    <cfRule type="cellIs" priority="2" stopIfTrue="1" operator="greaterThan">
      <formula>0</formula>
    </cfRule>
  </conditionalFormatting>
  <conditionalFormatting sqref="C38">
    <cfRule type="cellIs" priority="3" stopIfTrue="1" operator="greaterThan">
      <formula>0</formula>
    </cfRule>
  </conditionalFormatting>
  <conditionalFormatting sqref="C55">
    <cfRule type="cellIs" priority="4" stopIfTrue="1" operator="greaterThan">
      <formula>0</formula>
    </cfRule>
  </conditionalFormatting>
  <conditionalFormatting sqref="C72">
    <cfRule type="cellIs" priority="5" stopIfTrue="1" operator="greaterThan">
      <formula>0</formula>
    </cfRule>
  </conditionalFormatting>
  <conditionalFormatting sqref="C89">
    <cfRule type="cellIs" priority="6" stopIfTrue="1" operator="greaterThan">
      <formula>0</formula>
    </cfRule>
  </conditionalFormatting>
  <conditionalFormatting sqref="C106">
    <cfRule type="cellIs" priority="7" stopIfTrue="1" operator="greaterThan">
      <formula>0</formula>
    </cfRule>
  </conditionalFormatting>
  <conditionalFormatting sqref="C123">
    <cfRule type="cellIs" priority="8" stopIfTrue="1" operator="greaterThan">
      <formula>0</formula>
    </cfRule>
  </conditionalFormatting>
  <conditionalFormatting sqref="C140">
    <cfRule type="cellIs" priority="9" stopIfTrue="1" operator="greaterThan">
      <formula>0</formula>
    </cfRule>
  </conditionalFormatting>
  <conditionalFormatting sqref="C157">
    <cfRule type="cellIs" priority="10" stopIfTrue="1" operator="greaterThan">
      <formula>0</formula>
    </cfRule>
  </conditionalFormatting>
  <conditionalFormatting sqref="C174">
    <cfRule type="cellIs" priority="11" stopIfTrue="1" operator="greaterThan">
      <formula>0</formula>
    </cfRule>
  </conditionalFormatting>
  <conditionalFormatting sqref="C191">
    <cfRule type="cellIs" priority="12" stopIfTrue="1" operator="greaterThan">
      <formula>0</formula>
    </cfRule>
  </conditionalFormatting>
  <conditionalFormatting sqref="C208">
    <cfRule type="cellIs" priority="13" stopIfTrue="1" operator="greaterThan">
      <formula>0</formula>
    </cfRule>
  </conditionalFormatting>
  <conditionalFormatting sqref="C225">
    <cfRule type="cellIs" priority="14" stopIfTrue="1" operator="greaterThan">
      <formula>0</formula>
    </cfRule>
  </conditionalFormatting>
  <conditionalFormatting sqref="C242">
    <cfRule type="cellIs" priority="15" stopIfTrue="1" operator="greaterThan">
      <formula>0</formula>
    </cfRule>
  </conditionalFormatting>
  <conditionalFormatting sqref="C259">
    <cfRule type="cellIs" priority="16" stopIfTrue="1" operator="greaterThan">
      <formula>0</formula>
    </cfRule>
  </conditionalFormatting>
  <conditionalFormatting sqref="C276">
    <cfRule type="cellIs" priority="17" stopIfTrue="1" operator="greaterThan">
      <formula>0</formula>
    </cfRule>
  </conditionalFormatting>
  <conditionalFormatting sqref="C293">
    <cfRule type="cellIs" priority="18" stopIfTrue="1" operator="greaterThan">
      <formula>0</formula>
    </cfRule>
  </conditionalFormatting>
  <conditionalFormatting sqref="D17 J17 P17">
    <cfRule type="cellIs" priority="19" stopIfTrue="1" operator="notEqual">
      <formula>365</formula>
    </cfRule>
  </conditionalFormatting>
  <conditionalFormatting sqref="D34 J34 P34">
    <cfRule type="cellIs" priority="20" stopIfTrue="1" operator="notEqual">
      <formula>365</formula>
    </cfRule>
  </conditionalFormatting>
  <conditionalFormatting sqref="D51 J51 P51">
    <cfRule type="cellIs" priority="21" stopIfTrue="1" operator="notEqual">
      <formula>365</formula>
    </cfRule>
  </conditionalFormatting>
  <conditionalFormatting sqref="D68 J68 P68">
    <cfRule type="cellIs" priority="22" stopIfTrue="1" operator="notEqual">
      <formula>365</formula>
    </cfRule>
  </conditionalFormatting>
  <conditionalFormatting sqref="D85 J85 P85">
    <cfRule type="cellIs" priority="23" stopIfTrue="1" operator="notEqual">
      <formula>365</formula>
    </cfRule>
  </conditionalFormatting>
  <conditionalFormatting sqref="D102 J102 P102">
    <cfRule type="cellIs" priority="24" stopIfTrue="1" operator="notEqual">
      <formula>365</formula>
    </cfRule>
  </conditionalFormatting>
  <conditionalFormatting sqref="D119 J119 P119">
    <cfRule type="cellIs" priority="25" stopIfTrue="1" operator="notEqual">
      <formula>365</formula>
    </cfRule>
  </conditionalFormatting>
  <conditionalFormatting sqref="D136 J136 P136">
    <cfRule type="cellIs" priority="26" stopIfTrue="1" operator="notEqual">
      <formula>365</formula>
    </cfRule>
  </conditionalFormatting>
  <conditionalFormatting sqref="D153 J153 P153">
    <cfRule type="cellIs" priority="27" stopIfTrue="1" operator="notEqual">
      <formula>365</formula>
    </cfRule>
  </conditionalFormatting>
  <conditionalFormatting sqref="D170 J170 P170">
    <cfRule type="cellIs" priority="28" stopIfTrue="1" operator="notEqual">
      <formula>365</formula>
    </cfRule>
  </conditionalFormatting>
  <conditionalFormatting sqref="D187 J187 P187">
    <cfRule type="cellIs" priority="29" stopIfTrue="1" operator="notEqual">
      <formula>365</formula>
    </cfRule>
  </conditionalFormatting>
  <conditionalFormatting sqref="D204 J204 P204">
    <cfRule type="cellIs" priority="30" stopIfTrue="1" operator="notEqual">
      <formula>365</formula>
    </cfRule>
  </conditionalFormatting>
  <conditionalFormatting sqref="D221 J221 P221">
    <cfRule type="cellIs" priority="31" stopIfTrue="1" operator="notEqual">
      <formula>365</formula>
    </cfRule>
  </conditionalFormatting>
  <conditionalFormatting sqref="D238 J238 P238">
    <cfRule type="cellIs" priority="32" stopIfTrue="1" operator="notEqual">
      <formula>365</formula>
    </cfRule>
  </conditionalFormatting>
  <conditionalFormatting sqref="D255 J255 P255">
    <cfRule type="cellIs" priority="33" stopIfTrue="1" operator="notEqual">
      <formula>365</formula>
    </cfRule>
  </conditionalFormatting>
  <conditionalFormatting sqref="D272 J272 P272">
    <cfRule type="cellIs" priority="34" stopIfTrue="1" operator="notEqual">
      <formula>365</formula>
    </cfRule>
  </conditionalFormatting>
  <conditionalFormatting sqref="D289 J289 P289">
    <cfRule type="cellIs" priority="35" stopIfTrue="1" operator="notEqual">
      <formula>365</formula>
    </cfRule>
  </conditionalFormatting>
  <conditionalFormatting sqref="D306 J306 P306">
    <cfRule type="cellIs" priority="36" stopIfTrue="1" operator="notEqual">
      <formula>365</formula>
    </cfRule>
  </conditionalFormatting>
  <conditionalFormatting sqref="I4">
    <cfRule type="cellIs" priority="37" stopIfTrue="1" operator="greaterThan">
      <formula>0</formula>
    </cfRule>
  </conditionalFormatting>
  <conditionalFormatting sqref="I21">
    <cfRule type="cellIs" priority="38" stopIfTrue="1" operator="greaterThan">
      <formula>0</formula>
    </cfRule>
  </conditionalFormatting>
  <conditionalFormatting sqref="I38">
    <cfRule type="cellIs" priority="39" stopIfTrue="1" operator="greaterThan">
      <formula>0</formula>
    </cfRule>
  </conditionalFormatting>
  <conditionalFormatting sqref="I55">
    <cfRule type="cellIs" priority="40" stopIfTrue="1" operator="greaterThan">
      <formula>0</formula>
    </cfRule>
  </conditionalFormatting>
  <conditionalFormatting sqref="I72">
    <cfRule type="cellIs" priority="41" stopIfTrue="1" operator="greaterThan">
      <formula>0</formula>
    </cfRule>
  </conditionalFormatting>
  <conditionalFormatting sqref="I89">
    <cfRule type="cellIs" priority="42" stopIfTrue="1" operator="greaterThan">
      <formula>0</formula>
    </cfRule>
  </conditionalFormatting>
  <conditionalFormatting sqref="I106">
    <cfRule type="cellIs" priority="43" stopIfTrue="1" operator="greaterThan">
      <formula>0</formula>
    </cfRule>
  </conditionalFormatting>
  <conditionalFormatting sqref="I123">
    <cfRule type="cellIs" priority="44" stopIfTrue="1" operator="greaterThan">
      <formula>0</formula>
    </cfRule>
  </conditionalFormatting>
  <conditionalFormatting sqref="I140">
    <cfRule type="cellIs" priority="45" stopIfTrue="1" operator="greaterThan">
      <formula>0</formula>
    </cfRule>
  </conditionalFormatting>
  <conditionalFormatting sqref="I157">
    <cfRule type="cellIs" priority="46" stopIfTrue="1" operator="greaterThan">
      <formula>0</formula>
    </cfRule>
  </conditionalFormatting>
  <conditionalFormatting sqref="I174">
    <cfRule type="cellIs" priority="47" stopIfTrue="1" operator="greaterThan">
      <formula>0</formula>
    </cfRule>
  </conditionalFormatting>
  <conditionalFormatting sqref="I191">
    <cfRule type="cellIs" priority="48" stopIfTrue="1" operator="greaterThan">
      <formula>0</formula>
    </cfRule>
  </conditionalFormatting>
  <conditionalFormatting sqref="I208">
    <cfRule type="cellIs" priority="49" stopIfTrue="1" operator="greaterThan">
      <formula>0</formula>
    </cfRule>
  </conditionalFormatting>
  <conditionalFormatting sqref="I225">
    <cfRule type="cellIs" priority="50" stopIfTrue="1" operator="greaterThan">
      <formula>0</formula>
    </cfRule>
  </conditionalFormatting>
  <conditionalFormatting sqref="I242">
    <cfRule type="cellIs" priority="51" stopIfTrue="1" operator="greaterThan">
      <formula>0</formula>
    </cfRule>
  </conditionalFormatting>
  <conditionalFormatting sqref="I259">
    <cfRule type="cellIs" priority="52" stopIfTrue="1" operator="greaterThan">
      <formula>0</formula>
    </cfRule>
  </conditionalFormatting>
  <conditionalFormatting sqref="I276">
    <cfRule type="cellIs" priority="53" stopIfTrue="1" operator="greaterThan">
      <formula>0</formula>
    </cfRule>
  </conditionalFormatting>
  <conditionalFormatting sqref="I293">
    <cfRule type="cellIs" priority="54" stopIfTrue="1" operator="greaterThan">
      <formula>0</formula>
    </cfRule>
  </conditionalFormatting>
  <conditionalFormatting sqref="O2">
    <cfRule type="cellIs" priority="55" stopIfTrue="1" operator="greaterThan">
      <formula>0</formula>
    </cfRule>
  </conditionalFormatting>
  <conditionalFormatting sqref="O4">
    <cfRule type="cellIs" priority="56" stopIfTrue="1" operator="greaterThan">
      <formula>0</formula>
    </cfRule>
  </conditionalFormatting>
  <conditionalFormatting sqref="O21">
    <cfRule type="cellIs" priority="57" stopIfTrue="1" operator="greaterThan">
      <formula>0</formula>
    </cfRule>
  </conditionalFormatting>
  <conditionalFormatting sqref="O38">
    <cfRule type="cellIs" priority="58" stopIfTrue="1" operator="greaterThan">
      <formula>0</formula>
    </cfRule>
  </conditionalFormatting>
  <conditionalFormatting sqref="O55">
    <cfRule type="cellIs" priority="59" stopIfTrue="1" operator="greaterThan">
      <formula>0</formula>
    </cfRule>
  </conditionalFormatting>
  <conditionalFormatting sqref="O72">
    <cfRule type="cellIs" priority="60" stopIfTrue="1" operator="greaterThan">
      <formula>0</formula>
    </cfRule>
  </conditionalFormatting>
  <conditionalFormatting sqref="O89">
    <cfRule type="cellIs" priority="61" stopIfTrue="1" operator="greaterThan">
      <formula>0</formula>
    </cfRule>
  </conditionalFormatting>
  <conditionalFormatting sqref="O106">
    <cfRule type="cellIs" priority="62" stopIfTrue="1" operator="greaterThan">
      <formula>0</formula>
    </cfRule>
  </conditionalFormatting>
  <conditionalFormatting sqref="O123">
    <cfRule type="cellIs" priority="63" stopIfTrue="1" operator="greaterThan">
      <formula>0</formula>
    </cfRule>
  </conditionalFormatting>
  <conditionalFormatting sqref="O140">
    <cfRule type="cellIs" priority="64" stopIfTrue="1" operator="greaterThan">
      <formula>0</formula>
    </cfRule>
  </conditionalFormatting>
  <conditionalFormatting sqref="O157">
    <cfRule type="cellIs" priority="65" stopIfTrue="1" operator="greaterThan">
      <formula>0</formula>
    </cfRule>
  </conditionalFormatting>
  <conditionalFormatting sqref="O174">
    <cfRule type="cellIs" priority="66" stopIfTrue="1" operator="greaterThan">
      <formula>0</formula>
    </cfRule>
  </conditionalFormatting>
  <conditionalFormatting sqref="O191">
    <cfRule type="cellIs" priority="67" stopIfTrue="1" operator="greaterThan">
      <formula>0</formula>
    </cfRule>
  </conditionalFormatting>
  <conditionalFormatting sqref="O208">
    <cfRule type="cellIs" priority="68" stopIfTrue="1" operator="greaterThan">
      <formula>0</formula>
    </cfRule>
  </conditionalFormatting>
  <conditionalFormatting sqref="O225">
    <cfRule type="cellIs" priority="69" stopIfTrue="1" operator="greaterThan">
      <formula>0</formula>
    </cfRule>
  </conditionalFormatting>
  <conditionalFormatting sqref="O242">
    <cfRule type="cellIs" priority="70" stopIfTrue="1" operator="greaterThan">
      <formula>0</formula>
    </cfRule>
  </conditionalFormatting>
  <conditionalFormatting sqref="O259">
    <cfRule type="cellIs" priority="71" stopIfTrue="1" operator="greaterThan">
      <formula>0</formula>
    </cfRule>
  </conditionalFormatting>
  <conditionalFormatting sqref="O276">
    <cfRule type="cellIs" priority="72" stopIfTrue="1" operator="greaterThan">
      <formula>0</formula>
    </cfRule>
  </conditionalFormatting>
  <conditionalFormatting sqref="O293">
    <cfRule type="cellIs" priority="73" stopIfTrue="1" operator="greaterThan">
      <formula>0</formula>
    </cfRule>
  </conditionalFormatting>
  <dataValidations count="1">
    <dataValidation allowBlank="1" showInputMessage="1" showErrorMessage="1" error="Le total des jours doit obligatoirement indiquer 365. (les périodes non travaillées doivent obligatoirement être indiquée avec tâche=0%)" sqref="D17 J17 P17 D34 J34 P34 D51 J51 P51 D68 J68 P68 D85 J85 P85 D102 J102 P102 D119 J119 P119 D136 J136 P136 D153 J153 P153 D170 J170 P170 D187 J187 P187 D204 J204 P204 D221 J221 P221 D238 J238 P238 D255 J255 P255 D272 J272 P272 D289 J289 P289 D306 J306 P306" xr:uid="{00000000-0002-0000-0500-000000000000}"/>
  </dataValidations>
  <printOptions horizontalCentered="1" headings="1"/>
  <pageMargins left="0.3543307086614173" right="0.3543307086614173" top="0.6692913385826772" bottom="0.39763779527559057" header="0.27559055118110237" footer="0.15748031496062992"/>
  <pageSetup paperSize="9" scale="12" orientation="landscape" r:id="rId1"/>
  <headerFooter alignWithMargins="0">
    <oddFooter>&amp;L&amp;"Calibri,Regular"&amp;K000000&amp;F/&amp;A&amp;R&amp;"Calibri,Regular"&amp;K000000Date d'impression : &amp;D // Page &amp;P sur &amp;N</oddFooter>
  </headerFooter>
  <rowBreaks count="3" manualBreakCount="3">
    <brk id="88" man="1"/>
    <brk id="173" man="1"/>
    <brk id="25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F66"/>
  <sheetViews>
    <sheetView zoomScaleNormal="100" workbookViewId="0">
      <selection activeCell="N8" sqref="N8"/>
    </sheetView>
  </sheetViews>
  <sheetFormatPr defaultColWidth="11.5546875" defaultRowHeight="14.4" x14ac:dyDescent="0.3"/>
  <cols>
    <col min="1" max="1" width="13.88671875" customWidth="1"/>
    <col min="2" max="11" width="17.44140625" customWidth="1"/>
    <col min="12" max="13" width="3.5546875" customWidth="1"/>
    <col min="14" max="14" width="12.88671875" customWidth="1"/>
    <col min="32" max="32" width="13.88671875" bestFit="1" customWidth="1"/>
  </cols>
  <sheetData>
    <row r="1" spans="1:9" x14ac:dyDescent="0.3">
      <c r="A1" s="1" t="s">
        <v>134</v>
      </c>
    </row>
    <row r="2" spans="1:9" x14ac:dyDescent="0.3">
      <c r="A2" s="964" t="s">
        <v>316</v>
      </c>
      <c r="B2" s="964"/>
      <c r="C2" s="176">
        <v>272.22000000000003</v>
      </c>
    </row>
    <row r="3" spans="1:9" x14ac:dyDescent="0.3">
      <c r="A3" s="964" t="s">
        <v>135</v>
      </c>
      <c r="B3" s="964"/>
      <c r="C3" s="11">
        <v>2.4173300000000002</v>
      </c>
      <c r="D3" s="62"/>
      <c r="G3" s="247"/>
    </row>
    <row r="4" spans="1:9" x14ac:dyDescent="0.3">
      <c r="A4" s="174"/>
      <c r="B4" s="174"/>
      <c r="C4" s="62"/>
      <c r="D4" s="62"/>
    </row>
    <row r="5" spans="1:9" x14ac:dyDescent="0.3">
      <c r="A5" s="175" t="s">
        <v>737</v>
      </c>
      <c r="B5" s="174"/>
      <c r="C5" s="62"/>
      <c r="D5" s="62"/>
      <c r="G5" s="175" t="s">
        <v>739</v>
      </c>
      <c r="H5" s="174"/>
      <c r="I5" s="62"/>
    </row>
    <row r="6" spans="1:9" x14ac:dyDescent="0.3">
      <c r="A6" s="964" t="s">
        <v>315</v>
      </c>
      <c r="B6" s="964"/>
      <c r="C6" s="101">
        <v>877.01</v>
      </c>
      <c r="G6" s="964" t="s">
        <v>315</v>
      </c>
      <c r="H6" s="964"/>
      <c r="I6" s="101">
        <v>921.4</v>
      </c>
    </row>
    <row r="7" spans="1:9" x14ac:dyDescent="0.3">
      <c r="A7" s="964" t="s">
        <v>374</v>
      </c>
      <c r="B7" s="964"/>
      <c r="C7" s="11">
        <f>ROUND(C3*C6/100,5)</f>
        <v>21.200230000000001</v>
      </c>
      <c r="G7" s="964" t="s">
        <v>374</v>
      </c>
      <c r="H7" s="964"/>
      <c r="I7" s="11">
        <f>ROUND(C3*I6/100,5)</f>
        <v>22.27328</v>
      </c>
    </row>
    <row r="8" spans="1:9" x14ac:dyDescent="0.3">
      <c r="A8" s="964" t="s">
        <v>314</v>
      </c>
      <c r="B8" s="964"/>
      <c r="C8" s="176">
        <f>ROUND($C$2*C6/100*5,2)</f>
        <v>11936.98</v>
      </c>
      <c r="G8" s="964" t="s">
        <v>314</v>
      </c>
      <c r="H8" s="964"/>
      <c r="I8" s="176">
        <f>ROUND($C$2*I6/100*5,2)</f>
        <v>12541.18</v>
      </c>
    </row>
    <row r="9" spans="1:9" x14ac:dyDescent="0.3">
      <c r="A9" s="964" t="s">
        <v>352</v>
      </c>
      <c r="B9" s="964"/>
      <c r="C9" s="246">
        <v>1</v>
      </c>
      <c r="E9" s="296" t="s">
        <v>418</v>
      </c>
      <c r="G9" s="964" t="s">
        <v>352</v>
      </c>
      <c r="H9" s="964"/>
      <c r="I9" s="246">
        <v>5</v>
      </c>
    </row>
    <row r="10" spans="1:9" x14ac:dyDescent="0.3">
      <c r="A10" s="174"/>
      <c r="B10" s="174"/>
      <c r="C10" s="62"/>
      <c r="E10" s="295">
        <f>(C6*C9)/12+(C12*C15)/12+(I6*I9)/12+(I12*I15)/12</f>
        <v>921.63249999999994</v>
      </c>
      <c r="H10" s="63"/>
    </row>
    <row r="11" spans="1:9" x14ac:dyDescent="0.3">
      <c r="A11" s="175" t="s">
        <v>738</v>
      </c>
      <c r="B11" s="174"/>
      <c r="C11" s="62"/>
      <c r="G11" s="175" t="s">
        <v>740</v>
      </c>
      <c r="H11" s="174"/>
      <c r="I11" s="62"/>
    </row>
    <row r="12" spans="1:9" x14ac:dyDescent="0.3">
      <c r="A12" s="964" t="s">
        <v>315</v>
      </c>
      <c r="B12" s="964"/>
      <c r="C12" s="2">
        <v>898.93</v>
      </c>
      <c r="G12" s="964" t="s">
        <v>315</v>
      </c>
      <c r="H12" s="964"/>
      <c r="I12" s="101">
        <v>944.43</v>
      </c>
    </row>
    <row r="13" spans="1:9" x14ac:dyDescent="0.3">
      <c r="A13" s="964" t="s">
        <v>374</v>
      </c>
      <c r="B13" s="964"/>
      <c r="C13" s="11">
        <f>ROUND(C3*C12/100,5)</f>
        <v>21.7301</v>
      </c>
      <c r="D13" s="62"/>
      <c r="G13" s="964" t="s">
        <v>374</v>
      </c>
      <c r="H13" s="964"/>
      <c r="I13" s="11">
        <f>ROUND(C3*I12/100,5)</f>
        <v>22.829989999999999</v>
      </c>
    </row>
    <row r="14" spans="1:9" x14ac:dyDescent="0.3">
      <c r="A14" s="964" t="s">
        <v>314</v>
      </c>
      <c r="B14" s="964"/>
      <c r="C14" s="176">
        <f>ROUND($C$2*C12*5/100,2)</f>
        <v>12235.34</v>
      </c>
      <c r="D14" s="62"/>
      <c r="G14" s="964" t="s">
        <v>314</v>
      </c>
      <c r="H14" s="964"/>
      <c r="I14" s="176">
        <f>ROUND($C$2*I12/100*5,2)</f>
        <v>12854.64</v>
      </c>
    </row>
    <row r="15" spans="1:9" x14ac:dyDescent="0.3">
      <c r="A15" s="964" t="s">
        <v>352</v>
      </c>
      <c r="B15" s="964"/>
      <c r="C15" s="246">
        <v>2</v>
      </c>
      <c r="D15" s="62"/>
      <c r="G15" s="964" t="s">
        <v>352</v>
      </c>
      <c r="H15" s="964"/>
      <c r="I15" s="246">
        <v>4</v>
      </c>
    </row>
    <row r="16" spans="1:9" x14ac:dyDescent="0.3">
      <c r="A16" s="174"/>
      <c r="B16" s="174"/>
      <c r="C16" s="62"/>
      <c r="D16" s="62"/>
    </row>
    <row r="17" spans="1:32" x14ac:dyDescent="0.3">
      <c r="A17" s="964" t="s">
        <v>384</v>
      </c>
      <c r="B17" s="964"/>
      <c r="C17" s="12">
        <v>0</v>
      </c>
      <c r="D17" s="67"/>
    </row>
    <row r="18" spans="1:32" x14ac:dyDescent="0.3">
      <c r="O18" t="s">
        <v>317</v>
      </c>
    </row>
    <row r="19" spans="1:32" ht="15.6" x14ac:dyDescent="0.3">
      <c r="A19" s="6" t="s">
        <v>127</v>
      </c>
      <c r="B19" s="7" t="s">
        <v>128</v>
      </c>
      <c r="C19" s="7" t="s">
        <v>129</v>
      </c>
      <c r="D19" s="7" t="s">
        <v>129</v>
      </c>
      <c r="E19" s="7" t="s">
        <v>130</v>
      </c>
      <c r="F19" s="7" t="s">
        <v>130</v>
      </c>
      <c r="G19" s="7" t="s">
        <v>83</v>
      </c>
      <c r="H19" s="7" t="s">
        <v>131</v>
      </c>
      <c r="I19" s="7" t="s">
        <v>131</v>
      </c>
      <c r="J19" s="7" t="s">
        <v>132</v>
      </c>
      <c r="K19" s="7" t="s">
        <v>133</v>
      </c>
      <c r="N19" s="6" t="s">
        <v>127</v>
      </c>
      <c r="O19" s="962" t="s">
        <v>96</v>
      </c>
      <c r="P19" s="965"/>
      <c r="Q19" s="965"/>
      <c r="R19" s="963"/>
      <c r="S19" s="281" t="s">
        <v>401</v>
      </c>
      <c r="T19" s="966" t="s">
        <v>402</v>
      </c>
      <c r="U19" s="966"/>
      <c r="V19" s="966"/>
      <c r="W19" s="966"/>
      <c r="X19" s="966"/>
      <c r="Y19" s="966" t="s">
        <v>97</v>
      </c>
      <c r="Z19" s="966"/>
      <c r="AA19" s="966"/>
      <c r="AB19" s="280" t="s">
        <v>99</v>
      </c>
      <c r="AC19" s="962" t="s">
        <v>100</v>
      </c>
      <c r="AD19" s="963"/>
    </row>
    <row r="20" spans="1:32" ht="15.6" x14ac:dyDescent="0.3">
      <c r="A20" s="6"/>
      <c r="B20" s="7" t="s">
        <v>96</v>
      </c>
      <c r="C20" s="7" t="s">
        <v>277</v>
      </c>
      <c r="D20" s="7" t="s">
        <v>278</v>
      </c>
      <c r="E20" s="7" t="s">
        <v>279</v>
      </c>
      <c r="F20" s="7" t="s">
        <v>280</v>
      </c>
      <c r="G20" s="7" t="s">
        <v>97</v>
      </c>
      <c r="H20" s="7" t="s">
        <v>98</v>
      </c>
      <c r="I20" s="7" t="s">
        <v>319</v>
      </c>
      <c r="J20" s="7" t="s">
        <v>99</v>
      </c>
      <c r="K20" s="7" t="s">
        <v>100</v>
      </c>
      <c r="N20" s="2"/>
      <c r="O20" s="8" t="s">
        <v>92</v>
      </c>
      <c r="P20" s="8" t="s">
        <v>88</v>
      </c>
      <c r="Q20" s="8" t="s">
        <v>74</v>
      </c>
      <c r="R20" s="8" t="s">
        <v>90</v>
      </c>
      <c r="S20" s="8" t="s">
        <v>86</v>
      </c>
      <c r="T20" s="8" t="s">
        <v>84</v>
      </c>
      <c r="U20" s="8" t="s">
        <v>76</v>
      </c>
      <c r="V20" s="8" t="s">
        <v>252</v>
      </c>
      <c r="W20" s="8" t="s">
        <v>254</v>
      </c>
      <c r="X20" s="8" t="s">
        <v>66</v>
      </c>
      <c r="Y20" s="8" t="s">
        <v>72</v>
      </c>
      <c r="Z20" s="8" t="s">
        <v>70</v>
      </c>
      <c r="AA20" s="8" t="s">
        <v>82</v>
      </c>
      <c r="AB20" s="8" t="s">
        <v>62</v>
      </c>
      <c r="AC20" s="8" t="s">
        <v>80</v>
      </c>
      <c r="AD20" s="8" t="s">
        <v>68</v>
      </c>
    </row>
    <row r="21" spans="1:32" x14ac:dyDescent="0.3">
      <c r="A21" s="9">
        <v>0</v>
      </c>
      <c r="B21" s="9">
        <v>123</v>
      </c>
      <c r="C21" s="9">
        <v>140</v>
      </c>
      <c r="D21" s="9">
        <v>140</v>
      </c>
      <c r="E21" s="9">
        <v>162</v>
      </c>
      <c r="F21" s="9">
        <v>162</v>
      </c>
      <c r="G21" s="9">
        <v>210</v>
      </c>
      <c r="H21" s="9">
        <v>237</v>
      </c>
      <c r="I21" s="9">
        <f>H21+15</f>
        <v>252</v>
      </c>
      <c r="J21" s="9">
        <v>321</v>
      </c>
      <c r="K21" s="9">
        <v>354</v>
      </c>
      <c r="N21" s="2">
        <v>0</v>
      </c>
      <c r="O21" s="2">
        <v>117</v>
      </c>
      <c r="P21" s="2">
        <v>145</v>
      </c>
      <c r="Q21" s="2">
        <v>151</v>
      </c>
      <c r="R21" s="2">
        <v>140</v>
      </c>
      <c r="S21" s="2">
        <v>159</v>
      </c>
      <c r="T21" s="2">
        <v>167</v>
      </c>
      <c r="U21" s="2">
        <v>180</v>
      </c>
      <c r="V21" s="10">
        <v>157</v>
      </c>
      <c r="W21" s="10">
        <v>157</v>
      </c>
      <c r="X21" s="2">
        <v>157</v>
      </c>
      <c r="Y21" s="2">
        <v>210</v>
      </c>
      <c r="Z21" s="2">
        <v>222</v>
      </c>
      <c r="AA21" s="2">
        <v>210</v>
      </c>
      <c r="AB21" s="2">
        <v>286</v>
      </c>
      <c r="AC21" s="2">
        <v>359</v>
      </c>
      <c r="AD21" s="2">
        <v>359</v>
      </c>
    </row>
    <row r="22" spans="1:32" x14ac:dyDescent="0.3">
      <c r="A22" s="9">
        <v>1</v>
      </c>
      <c r="B22" s="9">
        <v>123</v>
      </c>
      <c r="C22" s="9">
        <v>140</v>
      </c>
      <c r="D22" s="9">
        <v>140</v>
      </c>
      <c r="E22" s="9">
        <v>162</v>
      </c>
      <c r="F22" s="9">
        <v>162</v>
      </c>
      <c r="G22" s="9">
        <v>210</v>
      </c>
      <c r="H22" s="9">
        <v>237</v>
      </c>
      <c r="I22" s="9">
        <f t="shared" ref="I22:I60" si="0">H22+15</f>
        <v>252</v>
      </c>
      <c r="J22" s="9">
        <v>321</v>
      </c>
      <c r="K22" s="9">
        <v>354</v>
      </c>
      <c r="N22" s="2">
        <v>1</v>
      </c>
      <c r="O22" s="2">
        <v>119</v>
      </c>
      <c r="P22" s="2">
        <v>148</v>
      </c>
      <c r="Q22" s="2">
        <v>151</v>
      </c>
      <c r="R22" s="2">
        <v>140</v>
      </c>
      <c r="S22" s="2">
        <v>163</v>
      </c>
      <c r="T22" s="2">
        <v>173</v>
      </c>
      <c r="U22" s="2">
        <v>185</v>
      </c>
      <c r="V22" s="10">
        <v>162</v>
      </c>
      <c r="W22" s="10">
        <v>162</v>
      </c>
      <c r="X22" s="2">
        <v>162</v>
      </c>
      <c r="Y22" s="2">
        <v>215</v>
      </c>
      <c r="Z22" s="2">
        <v>222</v>
      </c>
      <c r="AA22" s="2">
        <v>215</v>
      </c>
      <c r="AB22" s="2">
        <v>297</v>
      </c>
      <c r="AC22" s="2">
        <v>367</v>
      </c>
      <c r="AD22" s="2">
        <v>367</v>
      </c>
    </row>
    <row r="23" spans="1:32" x14ac:dyDescent="0.3">
      <c r="A23" s="9">
        <v>2</v>
      </c>
      <c r="B23" s="9">
        <v>129</v>
      </c>
      <c r="C23" s="9">
        <v>147</v>
      </c>
      <c r="D23" s="9">
        <v>147</v>
      </c>
      <c r="E23" s="9">
        <v>171</v>
      </c>
      <c r="F23" s="9">
        <v>171</v>
      </c>
      <c r="G23" s="9">
        <v>221</v>
      </c>
      <c r="H23" s="9">
        <v>249</v>
      </c>
      <c r="I23" s="9">
        <f t="shared" si="0"/>
        <v>264</v>
      </c>
      <c r="J23" s="9">
        <v>338</v>
      </c>
      <c r="K23" s="9">
        <v>373</v>
      </c>
      <c r="N23" s="2">
        <v>2</v>
      </c>
      <c r="O23" s="2">
        <v>122</v>
      </c>
      <c r="P23" s="2">
        <v>152</v>
      </c>
      <c r="Q23" s="2">
        <v>159</v>
      </c>
      <c r="R23" s="2">
        <v>149</v>
      </c>
      <c r="S23" s="2">
        <v>168</v>
      </c>
      <c r="T23" s="2">
        <v>178</v>
      </c>
      <c r="U23" s="2">
        <v>190</v>
      </c>
      <c r="V23" s="10">
        <v>166</v>
      </c>
      <c r="W23" s="10">
        <v>166</v>
      </c>
      <c r="X23" s="2">
        <v>167</v>
      </c>
      <c r="Y23" s="2">
        <v>223</v>
      </c>
      <c r="Z23" s="2">
        <v>226</v>
      </c>
      <c r="AA23" s="2">
        <v>223</v>
      </c>
      <c r="AB23" s="2">
        <v>307</v>
      </c>
      <c r="AC23" s="2">
        <v>375</v>
      </c>
      <c r="AD23" s="2">
        <v>375</v>
      </c>
    </row>
    <row r="24" spans="1:32" x14ac:dyDescent="0.3">
      <c r="A24" s="9">
        <v>3</v>
      </c>
      <c r="B24" s="9">
        <v>131</v>
      </c>
      <c r="C24" s="9">
        <v>151</v>
      </c>
      <c r="D24" s="9">
        <v>151</v>
      </c>
      <c r="E24" s="9">
        <v>176</v>
      </c>
      <c r="F24" s="9">
        <v>176</v>
      </c>
      <c r="G24" s="9">
        <v>226</v>
      </c>
      <c r="H24" s="9">
        <v>255</v>
      </c>
      <c r="I24" s="9">
        <f t="shared" si="0"/>
        <v>270</v>
      </c>
      <c r="J24" s="9">
        <v>345</v>
      </c>
      <c r="K24" s="9">
        <v>380</v>
      </c>
      <c r="N24" s="2">
        <v>3</v>
      </c>
      <c r="O24" s="2">
        <v>124</v>
      </c>
      <c r="P24" s="2">
        <v>156</v>
      </c>
      <c r="Q24" s="2">
        <v>159</v>
      </c>
      <c r="R24" s="2">
        <v>149</v>
      </c>
      <c r="S24" s="2">
        <v>172</v>
      </c>
      <c r="T24" s="2">
        <v>184</v>
      </c>
      <c r="U24" s="2">
        <v>195</v>
      </c>
      <c r="V24" s="10">
        <v>171</v>
      </c>
      <c r="W24" s="10">
        <v>171</v>
      </c>
      <c r="X24" s="2">
        <v>173</v>
      </c>
      <c r="Y24" s="2">
        <v>229</v>
      </c>
      <c r="Z24" s="2">
        <v>226</v>
      </c>
      <c r="AA24" s="2">
        <v>229</v>
      </c>
      <c r="AB24" s="2">
        <v>318</v>
      </c>
      <c r="AC24" s="2">
        <v>383</v>
      </c>
      <c r="AD24" s="2">
        <v>383</v>
      </c>
      <c r="AF24" s="62"/>
    </row>
    <row r="25" spans="1:32" x14ac:dyDescent="0.3">
      <c r="A25" s="9">
        <v>4</v>
      </c>
      <c r="B25" s="9">
        <v>133</v>
      </c>
      <c r="C25" s="9">
        <v>154</v>
      </c>
      <c r="D25" s="9">
        <v>154</v>
      </c>
      <c r="E25" s="9">
        <v>181</v>
      </c>
      <c r="F25" s="9">
        <v>181</v>
      </c>
      <c r="G25" s="9">
        <v>232</v>
      </c>
      <c r="H25" s="9">
        <v>261</v>
      </c>
      <c r="I25" s="9">
        <f t="shared" si="0"/>
        <v>276</v>
      </c>
      <c r="J25" s="9">
        <v>351</v>
      </c>
      <c r="K25" s="9">
        <v>386</v>
      </c>
      <c r="N25" s="2">
        <v>4</v>
      </c>
      <c r="O25" s="2">
        <v>127</v>
      </c>
      <c r="P25" s="2">
        <v>160</v>
      </c>
      <c r="Q25" s="2">
        <v>167</v>
      </c>
      <c r="R25" s="2">
        <v>158</v>
      </c>
      <c r="S25" s="2">
        <v>178</v>
      </c>
      <c r="T25" s="2">
        <v>189</v>
      </c>
      <c r="U25" s="2">
        <v>200</v>
      </c>
      <c r="V25" s="10">
        <v>176</v>
      </c>
      <c r="W25" s="10">
        <v>176</v>
      </c>
      <c r="X25" s="2">
        <v>178</v>
      </c>
      <c r="Y25" s="2">
        <v>236</v>
      </c>
      <c r="Z25" s="2">
        <v>230</v>
      </c>
      <c r="AA25" s="2">
        <v>236</v>
      </c>
      <c r="AB25" s="2">
        <v>329</v>
      </c>
      <c r="AC25" s="2">
        <v>392</v>
      </c>
      <c r="AD25" s="2">
        <v>392</v>
      </c>
    </row>
    <row r="26" spans="1:32" x14ac:dyDescent="0.3">
      <c r="A26" s="9">
        <v>5</v>
      </c>
      <c r="B26" s="9">
        <v>135</v>
      </c>
      <c r="C26" s="9">
        <v>158</v>
      </c>
      <c r="D26" s="9">
        <v>158</v>
      </c>
      <c r="E26" s="9">
        <v>186</v>
      </c>
      <c r="F26" s="9">
        <v>186</v>
      </c>
      <c r="G26" s="9">
        <v>238</v>
      </c>
      <c r="H26" s="9">
        <v>267</v>
      </c>
      <c r="I26" s="9">
        <f t="shared" si="0"/>
        <v>282</v>
      </c>
      <c r="J26" s="9">
        <v>357</v>
      </c>
      <c r="K26" s="9">
        <v>392</v>
      </c>
      <c r="N26" s="2">
        <v>5</v>
      </c>
      <c r="O26" s="2">
        <v>129</v>
      </c>
      <c r="P26" s="2">
        <v>164</v>
      </c>
      <c r="Q26" s="2">
        <v>167</v>
      </c>
      <c r="R26" s="2">
        <v>158</v>
      </c>
      <c r="S26" s="2">
        <v>181</v>
      </c>
      <c r="T26" s="2">
        <v>195</v>
      </c>
      <c r="U26" s="2">
        <v>205</v>
      </c>
      <c r="V26" s="10">
        <v>180</v>
      </c>
      <c r="W26" s="10">
        <v>180</v>
      </c>
      <c r="X26" s="2">
        <v>183</v>
      </c>
      <c r="Y26" s="2">
        <v>242</v>
      </c>
      <c r="Z26" s="2">
        <v>230</v>
      </c>
      <c r="AA26" s="2">
        <v>242</v>
      </c>
      <c r="AB26" s="2">
        <v>339</v>
      </c>
      <c r="AC26" s="2">
        <v>400</v>
      </c>
      <c r="AD26" s="2">
        <v>400</v>
      </c>
      <c r="AF26" s="63"/>
    </row>
    <row r="27" spans="1:32" x14ac:dyDescent="0.3">
      <c r="A27" s="9">
        <v>6</v>
      </c>
      <c r="B27" s="9">
        <v>137</v>
      </c>
      <c r="C27" s="9">
        <v>161</v>
      </c>
      <c r="D27" s="9">
        <v>161</v>
      </c>
      <c r="E27" s="9">
        <v>192</v>
      </c>
      <c r="F27" s="9">
        <v>192</v>
      </c>
      <c r="G27" s="9">
        <v>244</v>
      </c>
      <c r="H27" s="9">
        <v>273</v>
      </c>
      <c r="I27" s="9">
        <f t="shared" si="0"/>
        <v>288</v>
      </c>
      <c r="J27" s="9">
        <v>363</v>
      </c>
      <c r="K27" s="9">
        <v>398</v>
      </c>
      <c r="N27" s="2">
        <v>6</v>
      </c>
      <c r="O27" s="2">
        <v>131</v>
      </c>
      <c r="P27" s="2">
        <v>168</v>
      </c>
      <c r="Q27" s="2">
        <v>167</v>
      </c>
      <c r="R27" s="2">
        <v>167</v>
      </c>
      <c r="S27" s="2">
        <v>187</v>
      </c>
      <c r="T27" s="2">
        <v>200</v>
      </c>
      <c r="U27" s="2">
        <v>210</v>
      </c>
      <c r="V27" s="10">
        <v>185</v>
      </c>
      <c r="W27" s="10">
        <v>185</v>
      </c>
      <c r="X27" s="2">
        <v>188</v>
      </c>
      <c r="Y27" s="2">
        <v>249</v>
      </c>
      <c r="Z27" s="2">
        <v>230</v>
      </c>
      <c r="AA27" s="2">
        <v>249</v>
      </c>
      <c r="AB27" s="2">
        <v>350</v>
      </c>
      <c r="AC27" s="2">
        <v>408</v>
      </c>
      <c r="AD27" s="2">
        <v>408</v>
      </c>
    </row>
    <row r="28" spans="1:32" x14ac:dyDescent="0.3">
      <c r="A28" s="9">
        <v>7</v>
      </c>
      <c r="B28" s="9">
        <v>140</v>
      </c>
      <c r="C28" s="9">
        <v>165</v>
      </c>
      <c r="D28" s="9">
        <v>165</v>
      </c>
      <c r="E28" s="9">
        <v>196</v>
      </c>
      <c r="F28" s="9">
        <v>196</v>
      </c>
      <c r="G28" s="9">
        <v>250</v>
      </c>
      <c r="H28" s="9">
        <v>279</v>
      </c>
      <c r="I28" s="9">
        <f t="shared" si="0"/>
        <v>294</v>
      </c>
      <c r="J28" s="9">
        <v>370</v>
      </c>
      <c r="K28" s="9">
        <v>405</v>
      </c>
      <c r="N28" s="2">
        <v>7</v>
      </c>
      <c r="O28" s="2">
        <v>134</v>
      </c>
      <c r="P28" s="2">
        <v>172</v>
      </c>
      <c r="Q28" s="2"/>
      <c r="R28" s="2">
        <v>167</v>
      </c>
      <c r="S28" s="2">
        <v>190</v>
      </c>
      <c r="T28" s="2">
        <v>206</v>
      </c>
      <c r="U28" s="2">
        <v>215</v>
      </c>
      <c r="V28" s="10">
        <v>190</v>
      </c>
      <c r="W28" s="10">
        <v>190</v>
      </c>
      <c r="X28" s="2">
        <v>194</v>
      </c>
      <c r="Y28" s="2">
        <v>256</v>
      </c>
      <c r="Z28" s="2"/>
      <c r="AA28" s="2">
        <v>256</v>
      </c>
      <c r="AB28" s="2">
        <v>360</v>
      </c>
      <c r="AC28" s="2">
        <v>449</v>
      </c>
      <c r="AD28" s="2">
        <v>449</v>
      </c>
    </row>
    <row r="29" spans="1:32" x14ac:dyDescent="0.3">
      <c r="A29" s="9">
        <v>8</v>
      </c>
      <c r="B29" s="9">
        <v>143</v>
      </c>
      <c r="C29" s="9">
        <v>168</v>
      </c>
      <c r="D29" s="9">
        <v>168</v>
      </c>
      <c r="E29" s="9">
        <v>201</v>
      </c>
      <c r="F29" s="9">
        <v>201</v>
      </c>
      <c r="G29" s="9">
        <v>256</v>
      </c>
      <c r="H29" s="9">
        <v>285</v>
      </c>
      <c r="I29" s="9">
        <f t="shared" si="0"/>
        <v>300</v>
      </c>
      <c r="J29" s="9">
        <v>376</v>
      </c>
      <c r="K29" s="9">
        <v>411</v>
      </c>
      <c r="N29" s="2">
        <v>8</v>
      </c>
      <c r="O29" s="2">
        <v>136</v>
      </c>
      <c r="P29" s="2">
        <v>176</v>
      </c>
      <c r="Q29" s="2"/>
      <c r="R29" s="2">
        <v>176</v>
      </c>
      <c r="S29" s="2">
        <v>196</v>
      </c>
      <c r="T29" s="2">
        <v>211</v>
      </c>
      <c r="U29" s="2">
        <v>221</v>
      </c>
      <c r="V29" s="10">
        <v>194</v>
      </c>
      <c r="W29" s="10">
        <v>194</v>
      </c>
      <c r="X29" s="2">
        <v>199</v>
      </c>
      <c r="Y29" s="2">
        <v>262</v>
      </c>
      <c r="Z29" s="2"/>
      <c r="AA29" s="2">
        <v>262</v>
      </c>
      <c r="AB29" s="2">
        <v>371</v>
      </c>
      <c r="AC29" s="2">
        <v>458</v>
      </c>
      <c r="AD29" s="2">
        <v>458</v>
      </c>
    </row>
    <row r="30" spans="1:32" x14ac:dyDescent="0.3">
      <c r="A30" s="9">
        <v>9</v>
      </c>
      <c r="B30" s="9">
        <v>145</v>
      </c>
      <c r="C30" s="9">
        <v>172</v>
      </c>
      <c r="D30" s="9">
        <v>172</v>
      </c>
      <c r="E30" s="9">
        <v>206</v>
      </c>
      <c r="F30" s="9">
        <v>206</v>
      </c>
      <c r="G30" s="9">
        <v>262</v>
      </c>
      <c r="H30" s="9">
        <v>292</v>
      </c>
      <c r="I30" s="9">
        <f t="shared" si="0"/>
        <v>307</v>
      </c>
      <c r="J30" s="9">
        <v>382</v>
      </c>
      <c r="K30" s="9">
        <v>418</v>
      </c>
      <c r="N30" s="2">
        <v>9</v>
      </c>
      <c r="O30" s="2">
        <v>139</v>
      </c>
      <c r="P30" s="2">
        <v>180</v>
      </c>
      <c r="Q30" s="2"/>
      <c r="R30" s="2">
        <v>176</v>
      </c>
      <c r="S30" s="2">
        <v>201</v>
      </c>
      <c r="T30" s="2">
        <v>217</v>
      </c>
      <c r="U30" s="2">
        <v>225</v>
      </c>
      <c r="V30" s="10">
        <v>199</v>
      </c>
      <c r="W30" s="10">
        <v>199</v>
      </c>
      <c r="X30" s="2">
        <v>204</v>
      </c>
      <c r="Y30" s="2">
        <v>269</v>
      </c>
      <c r="Z30" s="2"/>
      <c r="AA30" s="2">
        <v>269</v>
      </c>
      <c r="AB30" s="2">
        <v>381</v>
      </c>
      <c r="AC30" s="2">
        <v>465</v>
      </c>
      <c r="AD30" s="2">
        <v>465</v>
      </c>
    </row>
    <row r="31" spans="1:32" x14ac:dyDescent="0.3">
      <c r="A31" s="9">
        <v>10</v>
      </c>
      <c r="B31" s="9">
        <v>147</v>
      </c>
      <c r="C31" s="9">
        <v>175</v>
      </c>
      <c r="D31" s="9">
        <v>175</v>
      </c>
      <c r="E31" s="9">
        <v>212</v>
      </c>
      <c r="F31" s="9">
        <v>212</v>
      </c>
      <c r="G31" s="9">
        <v>267</v>
      </c>
      <c r="H31" s="9">
        <v>299</v>
      </c>
      <c r="I31" s="9">
        <f t="shared" si="0"/>
        <v>314</v>
      </c>
      <c r="J31" s="9">
        <v>389</v>
      </c>
      <c r="K31" s="9">
        <v>424</v>
      </c>
      <c r="N31" s="2">
        <v>10</v>
      </c>
      <c r="O31" s="2">
        <v>141</v>
      </c>
      <c r="P31" s="2">
        <v>184</v>
      </c>
      <c r="Q31" s="2"/>
      <c r="R31" s="2">
        <v>185</v>
      </c>
      <c r="S31" s="2">
        <v>205</v>
      </c>
      <c r="T31" s="2">
        <v>223</v>
      </c>
      <c r="U31" s="2">
        <v>230</v>
      </c>
      <c r="V31" s="10">
        <v>204</v>
      </c>
      <c r="W31" s="10">
        <v>204</v>
      </c>
      <c r="X31" s="2">
        <v>209</v>
      </c>
      <c r="Y31" s="2">
        <v>275</v>
      </c>
      <c r="Z31" s="2"/>
      <c r="AA31" s="2">
        <v>275</v>
      </c>
      <c r="AB31" s="2">
        <v>392</v>
      </c>
      <c r="AC31" s="2">
        <v>473</v>
      </c>
      <c r="AD31" s="2">
        <v>473</v>
      </c>
    </row>
    <row r="32" spans="1:32" x14ac:dyDescent="0.3">
      <c r="A32" s="9">
        <v>11</v>
      </c>
      <c r="B32" s="9">
        <v>150</v>
      </c>
      <c r="C32" s="9">
        <v>178</v>
      </c>
      <c r="D32" s="9">
        <v>178</v>
      </c>
      <c r="E32" s="9">
        <v>216</v>
      </c>
      <c r="F32" s="9">
        <v>216</v>
      </c>
      <c r="G32" s="9">
        <v>273</v>
      </c>
      <c r="H32" s="9">
        <v>305</v>
      </c>
      <c r="I32" s="9">
        <f t="shared" si="0"/>
        <v>320</v>
      </c>
      <c r="J32" s="9">
        <v>395</v>
      </c>
      <c r="K32" s="9">
        <v>430</v>
      </c>
      <c r="N32" s="2">
        <v>11</v>
      </c>
      <c r="O32" s="2">
        <v>144</v>
      </c>
      <c r="P32" s="2">
        <v>188</v>
      </c>
      <c r="Q32" s="2"/>
      <c r="R32" s="2">
        <v>185</v>
      </c>
      <c r="S32" s="2">
        <v>210</v>
      </c>
      <c r="T32" s="2">
        <v>228</v>
      </c>
      <c r="U32" s="2">
        <v>234</v>
      </c>
      <c r="V32" s="10">
        <v>208</v>
      </c>
      <c r="W32" s="10">
        <v>208</v>
      </c>
      <c r="X32" s="2">
        <v>215</v>
      </c>
      <c r="Y32" s="2">
        <v>282</v>
      </c>
      <c r="Z32" s="2"/>
      <c r="AA32" s="2">
        <v>282</v>
      </c>
      <c r="AB32" s="2">
        <v>403</v>
      </c>
      <c r="AC32" s="2">
        <v>482</v>
      </c>
      <c r="AD32" s="2">
        <v>482</v>
      </c>
    </row>
    <row r="33" spans="1:30" x14ac:dyDescent="0.3">
      <c r="A33" s="9">
        <v>12</v>
      </c>
      <c r="B33" s="9">
        <v>152</v>
      </c>
      <c r="C33" s="9">
        <v>182</v>
      </c>
      <c r="D33" s="9">
        <v>182</v>
      </c>
      <c r="E33" s="9">
        <v>221</v>
      </c>
      <c r="F33" s="9">
        <v>221</v>
      </c>
      <c r="G33" s="9">
        <v>279</v>
      </c>
      <c r="H33" s="9">
        <v>311</v>
      </c>
      <c r="I33" s="9">
        <f t="shared" si="0"/>
        <v>326</v>
      </c>
      <c r="J33" s="9">
        <v>401</v>
      </c>
      <c r="K33" s="9">
        <v>437</v>
      </c>
      <c r="N33" s="2">
        <v>12</v>
      </c>
      <c r="O33" s="2">
        <v>146</v>
      </c>
      <c r="P33" s="2">
        <v>192</v>
      </c>
      <c r="Q33" s="2"/>
      <c r="R33" s="2">
        <v>193</v>
      </c>
      <c r="S33" s="2">
        <v>214</v>
      </c>
      <c r="T33" s="2">
        <v>234</v>
      </c>
      <c r="U33" s="2">
        <v>239</v>
      </c>
      <c r="V33" s="10">
        <v>213</v>
      </c>
      <c r="W33" s="10">
        <v>213</v>
      </c>
      <c r="X33" s="2">
        <v>220</v>
      </c>
      <c r="Y33" s="2">
        <v>288</v>
      </c>
      <c r="Z33" s="2"/>
      <c r="AA33" s="2">
        <v>288</v>
      </c>
      <c r="AB33" s="2">
        <v>413</v>
      </c>
      <c r="AC33" s="2">
        <v>490</v>
      </c>
      <c r="AD33" s="2">
        <v>490</v>
      </c>
    </row>
    <row r="34" spans="1:30" x14ac:dyDescent="0.3">
      <c r="A34" s="9">
        <v>13</v>
      </c>
      <c r="B34" s="9">
        <v>154</v>
      </c>
      <c r="C34" s="9">
        <v>185</v>
      </c>
      <c r="D34" s="9">
        <v>185</v>
      </c>
      <c r="E34" s="9">
        <v>226</v>
      </c>
      <c r="F34" s="9">
        <v>226</v>
      </c>
      <c r="G34" s="9">
        <v>285</v>
      </c>
      <c r="H34" s="9">
        <v>317</v>
      </c>
      <c r="I34" s="9">
        <f t="shared" si="0"/>
        <v>332</v>
      </c>
      <c r="J34" s="9">
        <v>408</v>
      </c>
      <c r="K34" s="9">
        <v>443</v>
      </c>
      <c r="N34" s="2">
        <v>13</v>
      </c>
      <c r="O34" s="2">
        <v>148</v>
      </c>
      <c r="P34" s="2">
        <v>196</v>
      </c>
      <c r="Q34" s="2"/>
      <c r="R34" s="2">
        <v>193</v>
      </c>
      <c r="S34" s="2">
        <v>219</v>
      </c>
      <c r="T34" s="2">
        <v>239</v>
      </c>
      <c r="U34" s="2">
        <v>244</v>
      </c>
      <c r="V34" s="10">
        <v>218</v>
      </c>
      <c r="W34" s="10">
        <v>218</v>
      </c>
      <c r="X34" s="2">
        <v>225</v>
      </c>
      <c r="Y34" s="2">
        <v>295</v>
      </c>
      <c r="Z34" s="2"/>
      <c r="AA34" s="2">
        <v>295</v>
      </c>
      <c r="AB34" s="2">
        <v>424</v>
      </c>
      <c r="AC34" s="2">
        <v>498</v>
      </c>
      <c r="AD34" s="2">
        <v>498</v>
      </c>
    </row>
    <row r="35" spans="1:30" x14ac:dyDescent="0.3">
      <c r="A35" s="9">
        <v>14</v>
      </c>
      <c r="B35" s="9">
        <v>157</v>
      </c>
      <c r="C35" s="9">
        <v>189</v>
      </c>
      <c r="D35" s="9">
        <v>189</v>
      </c>
      <c r="E35" s="9">
        <v>232</v>
      </c>
      <c r="F35" s="9">
        <v>232</v>
      </c>
      <c r="G35" s="9">
        <v>291</v>
      </c>
      <c r="H35" s="9">
        <v>324</v>
      </c>
      <c r="I35" s="9">
        <f t="shared" si="0"/>
        <v>339</v>
      </c>
      <c r="J35" s="9">
        <v>414</v>
      </c>
      <c r="K35" s="9">
        <v>450</v>
      </c>
      <c r="N35" s="2">
        <v>14</v>
      </c>
      <c r="O35" s="2">
        <v>151</v>
      </c>
      <c r="P35" s="2">
        <v>200</v>
      </c>
      <c r="Q35" s="2"/>
      <c r="R35" s="2">
        <v>201</v>
      </c>
      <c r="S35" s="2">
        <v>223</v>
      </c>
      <c r="T35" s="2">
        <v>245</v>
      </c>
      <c r="U35" s="2">
        <v>249</v>
      </c>
      <c r="V35" s="10">
        <v>222</v>
      </c>
      <c r="W35" s="10">
        <v>222</v>
      </c>
      <c r="X35" s="2">
        <v>230</v>
      </c>
      <c r="Y35" s="2">
        <v>301</v>
      </c>
      <c r="Z35" s="2"/>
      <c r="AA35" s="2">
        <v>301</v>
      </c>
      <c r="AB35" s="2">
        <v>434</v>
      </c>
      <c r="AC35" s="2">
        <v>506</v>
      </c>
      <c r="AD35" s="2">
        <v>506</v>
      </c>
    </row>
    <row r="36" spans="1:30" x14ac:dyDescent="0.3">
      <c r="A36" s="9">
        <v>15</v>
      </c>
      <c r="B36" s="9">
        <v>159</v>
      </c>
      <c r="C36" s="9">
        <v>192</v>
      </c>
      <c r="D36" s="9">
        <v>192</v>
      </c>
      <c r="E36" s="9">
        <v>236</v>
      </c>
      <c r="F36" s="9">
        <v>236</v>
      </c>
      <c r="G36" s="9">
        <v>297</v>
      </c>
      <c r="H36" s="9">
        <v>330</v>
      </c>
      <c r="I36" s="9">
        <f t="shared" si="0"/>
        <v>345</v>
      </c>
      <c r="J36" s="9">
        <v>420</v>
      </c>
      <c r="K36" s="9">
        <v>456</v>
      </c>
      <c r="N36" s="2">
        <v>15</v>
      </c>
      <c r="O36" s="2">
        <v>153</v>
      </c>
      <c r="P36" s="2">
        <v>204</v>
      </c>
      <c r="Q36" s="2"/>
      <c r="R36" s="2">
        <v>201</v>
      </c>
      <c r="S36" s="2">
        <v>228</v>
      </c>
      <c r="T36" s="2">
        <v>250</v>
      </c>
      <c r="U36" s="2">
        <v>254</v>
      </c>
      <c r="V36" s="10">
        <v>227</v>
      </c>
      <c r="W36" s="10">
        <v>227</v>
      </c>
      <c r="X36" s="2">
        <v>235</v>
      </c>
      <c r="Y36" s="2">
        <v>308</v>
      </c>
      <c r="Z36" s="2"/>
      <c r="AA36" s="2">
        <v>308</v>
      </c>
      <c r="AB36" s="2">
        <v>445</v>
      </c>
      <c r="AC36" s="2">
        <v>515</v>
      </c>
      <c r="AD36" s="2">
        <v>515</v>
      </c>
    </row>
    <row r="37" spans="1:30" x14ac:dyDescent="0.3">
      <c r="A37" s="9">
        <v>16</v>
      </c>
      <c r="B37" s="9">
        <v>161</v>
      </c>
      <c r="C37" s="9">
        <v>196</v>
      </c>
      <c r="D37" s="9">
        <v>196</v>
      </c>
      <c r="E37" s="9">
        <v>241</v>
      </c>
      <c r="F37" s="9">
        <v>241</v>
      </c>
      <c r="G37" s="9">
        <v>302</v>
      </c>
      <c r="H37" s="9">
        <v>336</v>
      </c>
      <c r="I37" s="9">
        <f t="shared" si="0"/>
        <v>351</v>
      </c>
      <c r="J37" s="9">
        <v>427</v>
      </c>
      <c r="K37" s="9">
        <v>462</v>
      </c>
      <c r="N37" s="2">
        <v>16</v>
      </c>
      <c r="O37" s="2">
        <v>156</v>
      </c>
      <c r="P37" s="2">
        <v>208</v>
      </c>
      <c r="Q37" s="2"/>
      <c r="R37" s="2">
        <v>209</v>
      </c>
      <c r="S37" s="2">
        <v>230</v>
      </c>
      <c r="T37" s="2">
        <v>256</v>
      </c>
      <c r="U37" s="2">
        <v>259</v>
      </c>
      <c r="V37" s="10">
        <v>232</v>
      </c>
      <c r="W37" s="10">
        <v>232</v>
      </c>
      <c r="X37" s="2">
        <v>241</v>
      </c>
      <c r="Y37" s="2">
        <v>315</v>
      </c>
      <c r="Z37" s="2"/>
      <c r="AA37" s="2">
        <v>315</v>
      </c>
      <c r="AB37" s="2">
        <v>455</v>
      </c>
      <c r="AC37" s="2">
        <v>522</v>
      </c>
      <c r="AD37" s="2">
        <v>522</v>
      </c>
    </row>
    <row r="38" spans="1:30" x14ac:dyDescent="0.3">
      <c r="A38" s="9">
        <v>17</v>
      </c>
      <c r="B38" s="9">
        <v>164</v>
      </c>
      <c r="C38" s="9">
        <v>199</v>
      </c>
      <c r="D38" s="9">
        <v>199</v>
      </c>
      <c r="E38" s="9">
        <v>246</v>
      </c>
      <c r="F38" s="9">
        <v>246</v>
      </c>
      <c r="G38" s="9">
        <v>308</v>
      </c>
      <c r="H38" s="9">
        <v>342</v>
      </c>
      <c r="I38" s="9">
        <f t="shared" si="0"/>
        <v>357</v>
      </c>
      <c r="J38" s="9">
        <v>433</v>
      </c>
      <c r="K38" s="9">
        <v>469</v>
      </c>
      <c r="N38" s="2">
        <v>17</v>
      </c>
      <c r="O38" s="2">
        <v>158</v>
      </c>
      <c r="P38" s="2">
        <v>212</v>
      </c>
      <c r="Q38" s="2"/>
      <c r="R38" s="2">
        <v>209</v>
      </c>
      <c r="S38" s="2">
        <v>231</v>
      </c>
      <c r="T38" s="2">
        <v>261</v>
      </c>
      <c r="U38" s="2">
        <v>264</v>
      </c>
      <c r="V38" s="10">
        <v>236</v>
      </c>
      <c r="W38" s="10">
        <v>236</v>
      </c>
      <c r="X38" s="2">
        <v>246</v>
      </c>
      <c r="Y38" s="2">
        <v>319</v>
      </c>
      <c r="Z38" s="2"/>
      <c r="AA38" s="2">
        <v>319</v>
      </c>
      <c r="AB38" s="2">
        <v>466</v>
      </c>
      <c r="AC38" s="2">
        <v>522</v>
      </c>
      <c r="AD38" s="2">
        <v>522</v>
      </c>
    </row>
    <row r="39" spans="1:30" x14ac:dyDescent="0.3">
      <c r="A39" s="9">
        <v>18</v>
      </c>
      <c r="B39" s="9">
        <v>166</v>
      </c>
      <c r="C39" s="9">
        <v>203</v>
      </c>
      <c r="D39" s="9">
        <v>203</v>
      </c>
      <c r="E39" s="9">
        <v>251</v>
      </c>
      <c r="F39" s="9">
        <v>251</v>
      </c>
      <c r="G39" s="9">
        <v>314</v>
      </c>
      <c r="H39" s="9">
        <v>349</v>
      </c>
      <c r="I39" s="9">
        <f t="shared" si="0"/>
        <v>364</v>
      </c>
      <c r="J39" s="9">
        <v>439</v>
      </c>
      <c r="K39" s="9">
        <v>475</v>
      </c>
      <c r="N39" s="2">
        <v>18</v>
      </c>
      <c r="O39" s="2">
        <v>160</v>
      </c>
      <c r="P39" s="2">
        <v>213</v>
      </c>
      <c r="Q39" s="2"/>
      <c r="R39" s="2">
        <v>217</v>
      </c>
      <c r="S39" s="2">
        <v>233</v>
      </c>
      <c r="T39" s="2">
        <v>263</v>
      </c>
      <c r="U39" s="2">
        <v>269</v>
      </c>
      <c r="V39" s="10">
        <v>241</v>
      </c>
      <c r="W39" s="10">
        <v>241</v>
      </c>
      <c r="X39" s="2">
        <v>251</v>
      </c>
      <c r="Y39" s="2">
        <v>323</v>
      </c>
      <c r="Z39" s="2"/>
      <c r="AA39" s="2">
        <v>323</v>
      </c>
      <c r="AB39" s="2">
        <v>477</v>
      </c>
      <c r="AC39" s="2">
        <v>522</v>
      </c>
      <c r="AD39" s="2">
        <v>522</v>
      </c>
    </row>
    <row r="40" spans="1:30" x14ac:dyDescent="0.3">
      <c r="A40" s="9">
        <v>19</v>
      </c>
      <c r="B40" s="9">
        <v>169</v>
      </c>
      <c r="C40" s="9">
        <v>206</v>
      </c>
      <c r="D40" s="9">
        <v>206</v>
      </c>
      <c r="E40" s="9">
        <v>256</v>
      </c>
      <c r="F40" s="9">
        <v>256</v>
      </c>
      <c r="G40" s="9">
        <v>320</v>
      </c>
      <c r="H40" s="9">
        <v>355</v>
      </c>
      <c r="I40" s="9">
        <f t="shared" si="0"/>
        <v>370</v>
      </c>
      <c r="J40" s="9">
        <v>445</v>
      </c>
      <c r="K40" s="9">
        <v>482</v>
      </c>
      <c r="N40" s="2">
        <v>19</v>
      </c>
      <c r="O40" s="2">
        <v>163</v>
      </c>
      <c r="P40" s="2">
        <v>215</v>
      </c>
      <c r="Q40" s="2"/>
      <c r="R40" s="2">
        <v>217</v>
      </c>
      <c r="S40" s="2">
        <v>235</v>
      </c>
      <c r="T40" s="2">
        <v>265</v>
      </c>
      <c r="U40" s="2">
        <v>274</v>
      </c>
      <c r="V40" s="10">
        <v>246</v>
      </c>
      <c r="W40" s="10">
        <v>246</v>
      </c>
      <c r="X40" s="2">
        <v>256</v>
      </c>
      <c r="Y40" s="2">
        <v>327</v>
      </c>
      <c r="Z40" s="2"/>
      <c r="AA40" s="2">
        <v>327</v>
      </c>
      <c r="AB40" s="2">
        <v>487</v>
      </c>
      <c r="AC40" s="2">
        <v>522</v>
      </c>
      <c r="AD40" s="2">
        <v>522</v>
      </c>
    </row>
    <row r="41" spans="1:30" x14ac:dyDescent="0.3">
      <c r="A41" s="9">
        <v>20</v>
      </c>
      <c r="B41" s="9">
        <v>171</v>
      </c>
      <c r="C41" s="9">
        <v>210</v>
      </c>
      <c r="D41" s="9">
        <v>210</v>
      </c>
      <c r="E41" s="9">
        <v>261</v>
      </c>
      <c r="F41" s="9">
        <v>261</v>
      </c>
      <c r="G41" s="9">
        <v>326</v>
      </c>
      <c r="H41" s="9">
        <v>361</v>
      </c>
      <c r="I41" s="9">
        <f t="shared" si="0"/>
        <v>376</v>
      </c>
      <c r="J41" s="9">
        <v>452</v>
      </c>
      <c r="K41" s="9">
        <v>488</v>
      </c>
      <c r="N41" s="2">
        <v>20</v>
      </c>
      <c r="O41" s="2">
        <v>165</v>
      </c>
      <c r="P41" s="2">
        <v>217</v>
      </c>
      <c r="Q41" s="2"/>
      <c r="R41" s="2">
        <v>225</v>
      </c>
      <c r="S41" s="2">
        <v>236</v>
      </c>
      <c r="T41" s="2">
        <v>267</v>
      </c>
      <c r="U41" s="2">
        <v>279</v>
      </c>
      <c r="V41" s="10">
        <v>250</v>
      </c>
      <c r="W41" s="10">
        <v>250</v>
      </c>
      <c r="X41" s="2">
        <v>262</v>
      </c>
      <c r="Y41" s="2">
        <v>331</v>
      </c>
      <c r="Z41" s="2"/>
      <c r="AA41" s="2">
        <v>331</v>
      </c>
      <c r="AB41" s="2">
        <v>487</v>
      </c>
      <c r="AC41" s="2">
        <v>522</v>
      </c>
      <c r="AD41" s="2">
        <v>522</v>
      </c>
    </row>
    <row r="42" spans="1:30" x14ac:dyDescent="0.3">
      <c r="A42" s="9">
        <v>21</v>
      </c>
      <c r="B42" s="9">
        <v>173</v>
      </c>
      <c r="C42" s="9">
        <v>213</v>
      </c>
      <c r="D42" s="9">
        <v>213</v>
      </c>
      <c r="E42" s="9">
        <v>266</v>
      </c>
      <c r="F42" s="9">
        <v>266</v>
      </c>
      <c r="G42" s="9">
        <v>332</v>
      </c>
      <c r="H42" s="9">
        <v>368</v>
      </c>
      <c r="I42" s="9">
        <f t="shared" si="0"/>
        <v>383</v>
      </c>
      <c r="J42" s="9">
        <v>458</v>
      </c>
      <c r="K42" s="9">
        <v>494</v>
      </c>
      <c r="N42" s="2">
        <v>21</v>
      </c>
      <c r="O42" s="2">
        <v>168</v>
      </c>
      <c r="P42" s="2">
        <v>218</v>
      </c>
      <c r="Q42" s="2"/>
      <c r="R42" s="2">
        <v>225</v>
      </c>
      <c r="S42" s="2">
        <v>238</v>
      </c>
      <c r="T42" s="2">
        <v>268</v>
      </c>
      <c r="U42" s="2">
        <v>284</v>
      </c>
      <c r="V42" s="10">
        <v>255</v>
      </c>
      <c r="W42" s="10">
        <v>255</v>
      </c>
      <c r="X42" s="2">
        <v>267</v>
      </c>
      <c r="Y42" s="2">
        <v>336</v>
      </c>
      <c r="Z42" s="2"/>
      <c r="AA42" s="2">
        <v>336</v>
      </c>
      <c r="AB42" s="2">
        <v>487</v>
      </c>
      <c r="AC42" s="2">
        <v>522</v>
      </c>
      <c r="AD42" s="2">
        <v>522</v>
      </c>
    </row>
    <row r="43" spans="1:30" x14ac:dyDescent="0.3">
      <c r="A43" s="9">
        <v>22</v>
      </c>
      <c r="B43" s="9">
        <v>176</v>
      </c>
      <c r="C43" s="9">
        <v>216</v>
      </c>
      <c r="D43" s="9">
        <v>216</v>
      </c>
      <c r="E43" s="9">
        <v>271</v>
      </c>
      <c r="F43" s="9">
        <v>271</v>
      </c>
      <c r="G43" s="9">
        <v>337</v>
      </c>
      <c r="H43" s="9">
        <v>374</v>
      </c>
      <c r="I43" s="9">
        <f t="shared" si="0"/>
        <v>389</v>
      </c>
      <c r="J43" s="9">
        <v>464</v>
      </c>
      <c r="K43" s="9">
        <v>501</v>
      </c>
      <c r="N43" s="2">
        <v>22</v>
      </c>
      <c r="O43" s="2">
        <v>170</v>
      </c>
      <c r="P43" s="2">
        <v>220</v>
      </c>
      <c r="Q43" s="2"/>
      <c r="R43" s="2">
        <v>233</v>
      </c>
      <c r="S43" s="2">
        <v>240</v>
      </c>
      <c r="T43" s="2">
        <v>270</v>
      </c>
      <c r="U43" s="2">
        <v>289</v>
      </c>
      <c r="V43" s="10">
        <v>260</v>
      </c>
      <c r="W43" s="10">
        <v>260</v>
      </c>
      <c r="X43" s="2">
        <v>271</v>
      </c>
      <c r="Y43" s="2">
        <v>340</v>
      </c>
      <c r="Z43" s="2"/>
      <c r="AA43" s="2">
        <v>340</v>
      </c>
      <c r="AB43" s="2">
        <v>487</v>
      </c>
      <c r="AC43" s="2">
        <v>522</v>
      </c>
      <c r="AD43" s="2">
        <v>522</v>
      </c>
    </row>
    <row r="44" spans="1:30" x14ac:dyDescent="0.3">
      <c r="A44" s="9">
        <v>23</v>
      </c>
      <c r="B44" s="9">
        <v>178</v>
      </c>
      <c r="C44" s="9">
        <v>220</v>
      </c>
      <c r="D44" s="9">
        <v>220</v>
      </c>
      <c r="E44" s="9">
        <v>277</v>
      </c>
      <c r="F44" s="9">
        <v>277</v>
      </c>
      <c r="G44" s="9">
        <v>343</v>
      </c>
      <c r="H44" s="9">
        <v>380</v>
      </c>
      <c r="I44" s="9">
        <f t="shared" si="0"/>
        <v>395</v>
      </c>
      <c r="J44" s="9">
        <v>471</v>
      </c>
      <c r="K44" s="9">
        <v>507</v>
      </c>
      <c r="N44" s="2">
        <v>23</v>
      </c>
      <c r="O44" s="2">
        <v>173</v>
      </c>
      <c r="P44" s="2">
        <v>222</v>
      </c>
      <c r="Q44" s="2"/>
      <c r="R44" s="2">
        <v>233</v>
      </c>
      <c r="S44" s="2">
        <v>241</v>
      </c>
      <c r="T44" s="2">
        <v>272</v>
      </c>
      <c r="U44" s="2">
        <v>294</v>
      </c>
      <c r="V44" s="10">
        <v>264</v>
      </c>
      <c r="W44" s="10">
        <v>264</v>
      </c>
      <c r="X44" s="2">
        <v>271</v>
      </c>
      <c r="Y44" s="2">
        <v>344</v>
      </c>
      <c r="Z44" s="2"/>
      <c r="AA44" s="2">
        <v>344</v>
      </c>
      <c r="AB44" s="2">
        <v>487</v>
      </c>
      <c r="AC44" s="2">
        <v>522</v>
      </c>
      <c r="AD44" s="2">
        <v>522</v>
      </c>
    </row>
    <row r="45" spans="1:30" x14ac:dyDescent="0.3">
      <c r="A45" s="9">
        <v>24</v>
      </c>
      <c r="B45" s="9">
        <v>181</v>
      </c>
      <c r="C45" s="9">
        <v>223</v>
      </c>
      <c r="D45" s="9">
        <v>223</v>
      </c>
      <c r="E45" s="9">
        <v>282</v>
      </c>
      <c r="F45" s="9">
        <v>282</v>
      </c>
      <c r="G45" s="9">
        <v>349</v>
      </c>
      <c r="H45" s="9">
        <v>386</v>
      </c>
      <c r="I45" s="9">
        <f t="shared" si="0"/>
        <v>401</v>
      </c>
      <c r="J45" s="9">
        <v>477</v>
      </c>
      <c r="K45" s="9">
        <v>514</v>
      </c>
      <c r="N45" s="2">
        <v>24</v>
      </c>
      <c r="O45" s="2">
        <v>175</v>
      </c>
      <c r="P45" s="2">
        <v>224</v>
      </c>
      <c r="Q45" s="2"/>
      <c r="R45" s="2">
        <v>233</v>
      </c>
      <c r="S45" s="2">
        <v>243</v>
      </c>
      <c r="T45" s="2">
        <v>274</v>
      </c>
      <c r="U45" s="2">
        <v>299</v>
      </c>
      <c r="V45" s="10">
        <v>269</v>
      </c>
      <c r="W45" s="10">
        <v>269</v>
      </c>
      <c r="X45" s="2">
        <v>271</v>
      </c>
      <c r="Y45" s="2">
        <v>348</v>
      </c>
      <c r="Z45" s="2"/>
      <c r="AA45" s="2">
        <v>348</v>
      </c>
      <c r="AB45" s="2">
        <v>487</v>
      </c>
      <c r="AC45" s="2">
        <v>522</v>
      </c>
      <c r="AD45" s="2">
        <v>522</v>
      </c>
    </row>
    <row r="46" spans="1:30" x14ac:dyDescent="0.3">
      <c r="A46" s="9">
        <v>25</v>
      </c>
      <c r="B46" s="9">
        <v>184</v>
      </c>
      <c r="C46" s="9">
        <v>227</v>
      </c>
      <c r="D46" s="9">
        <v>227</v>
      </c>
      <c r="E46" s="9">
        <v>287</v>
      </c>
      <c r="F46" s="9">
        <v>287</v>
      </c>
      <c r="G46" s="9">
        <v>355</v>
      </c>
      <c r="H46" s="9">
        <v>393</v>
      </c>
      <c r="I46" s="9">
        <f t="shared" si="0"/>
        <v>408</v>
      </c>
      <c r="J46" s="9">
        <v>483</v>
      </c>
      <c r="K46" s="9">
        <v>520</v>
      </c>
      <c r="N46" s="2">
        <v>25</v>
      </c>
      <c r="O46" s="2">
        <v>177</v>
      </c>
      <c r="P46" s="2">
        <v>225</v>
      </c>
      <c r="Q46" s="2"/>
      <c r="R46" s="2">
        <v>233</v>
      </c>
      <c r="S46" s="2">
        <v>245</v>
      </c>
      <c r="T46" s="2">
        <v>275</v>
      </c>
      <c r="U46" s="2">
        <v>304</v>
      </c>
      <c r="V46" s="10">
        <v>271</v>
      </c>
      <c r="W46" s="10">
        <v>271</v>
      </c>
      <c r="X46" s="2">
        <v>271</v>
      </c>
      <c r="Y46" s="2">
        <v>353</v>
      </c>
      <c r="Z46" s="2"/>
      <c r="AA46" s="2">
        <v>353</v>
      </c>
      <c r="AB46" s="2">
        <v>487</v>
      </c>
      <c r="AC46" s="2">
        <v>522</v>
      </c>
      <c r="AD46" s="2">
        <v>522</v>
      </c>
    </row>
    <row r="47" spans="1:30" x14ac:dyDescent="0.3">
      <c r="A47" s="9">
        <v>26</v>
      </c>
      <c r="B47" s="9">
        <v>186</v>
      </c>
      <c r="C47" s="9">
        <v>230</v>
      </c>
      <c r="D47" s="9">
        <v>230</v>
      </c>
      <c r="E47" s="9">
        <v>292</v>
      </c>
      <c r="F47" s="9">
        <v>292</v>
      </c>
      <c r="G47" s="9">
        <v>361</v>
      </c>
      <c r="H47" s="9">
        <v>399</v>
      </c>
      <c r="I47" s="9">
        <f t="shared" si="0"/>
        <v>414</v>
      </c>
      <c r="J47" s="9">
        <v>491</v>
      </c>
      <c r="K47" s="9">
        <v>520</v>
      </c>
      <c r="N47" s="2">
        <v>26</v>
      </c>
      <c r="O47" s="2">
        <v>181</v>
      </c>
      <c r="P47" s="2">
        <v>227</v>
      </c>
      <c r="Q47" s="2"/>
      <c r="R47" s="2">
        <v>233</v>
      </c>
      <c r="S47" s="2">
        <v>246</v>
      </c>
      <c r="T47" s="2">
        <v>277</v>
      </c>
      <c r="U47" s="2">
        <v>309</v>
      </c>
      <c r="V47" s="10">
        <v>271</v>
      </c>
      <c r="W47" s="10">
        <v>271</v>
      </c>
      <c r="X47" s="2">
        <v>271</v>
      </c>
      <c r="Y47" s="2">
        <v>357</v>
      </c>
      <c r="Z47" s="2"/>
      <c r="AA47" s="2">
        <v>357</v>
      </c>
      <c r="AB47" s="2">
        <v>488</v>
      </c>
      <c r="AC47" s="2">
        <v>522</v>
      </c>
      <c r="AD47" s="2">
        <v>522</v>
      </c>
    </row>
    <row r="48" spans="1:30" x14ac:dyDescent="0.3">
      <c r="A48" s="9">
        <v>27</v>
      </c>
      <c r="B48" s="9">
        <v>188</v>
      </c>
      <c r="C48" s="9">
        <v>234</v>
      </c>
      <c r="D48" s="9">
        <v>234</v>
      </c>
      <c r="E48" s="9">
        <v>297</v>
      </c>
      <c r="F48" s="9">
        <v>297</v>
      </c>
      <c r="G48" s="9">
        <v>367</v>
      </c>
      <c r="H48" s="9">
        <v>405</v>
      </c>
      <c r="I48" s="9">
        <f t="shared" si="0"/>
        <v>420</v>
      </c>
      <c r="J48" s="9">
        <v>496</v>
      </c>
      <c r="K48" s="9">
        <v>520</v>
      </c>
      <c r="N48" s="2">
        <v>27</v>
      </c>
      <c r="O48" s="2">
        <v>181</v>
      </c>
      <c r="P48" s="2">
        <v>229</v>
      </c>
      <c r="Q48" s="2"/>
      <c r="R48" s="2">
        <v>233</v>
      </c>
      <c r="S48" s="2">
        <v>248</v>
      </c>
      <c r="T48" s="2">
        <v>279</v>
      </c>
      <c r="U48" s="2">
        <v>314</v>
      </c>
      <c r="V48" s="10">
        <v>271</v>
      </c>
      <c r="W48" s="10">
        <v>271</v>
      </c>
      <c r="X48" s="2">
        <v>271</v>
      </c>
      <c r="Y48" s="2">
        <v>361</v>
      </c>
      <c r="Z48" s="2"/>
      <c r="AA48" s="2">
        <v>361</v>
      </c>
      <c r="AB48" s="2">
        <v>488</v>
      </c>
      <c r="AC48" s="2">
        <v>522</v>
      </c>
      <c r="AD48" s="2">
        <v>522</v>
      </c>
    </row>
    <row r="49" spans="1:30" x14ac:dyDescent="0.3">
      <c r="A49" s="9">
        <v>28</v>
      </c>
      <c r="B49" s="9">
        <v>190</v>
      </c>
      <c r="C49" s="9">
        <v>238</v>
      </c>
      <c r="D49" s="9">
        <v>238</v>
      </c>
      <c r="E49" s="9">
        <v>302</v>
      </c>
      <c r="F49" s="9">
        <v>302</v>
      </c>
      <c r="G49" s="9">
        <v>374</v>
      </c>
      <c r="H49" s="9">
        <v>412</v>
      </c>
      <c r="I49" s="9">
        <f t="shared" si="0"/>
        <v>427</v>
      </c>
      <c r="J49" s="9">
        <v>496</v>
      </c>
      <c r="K49" s="9">
        <v>520</v>
      </c>
      <c r="N49" s="2">
        <v>28</v>
      </c>
      <c r="O49" s="2">
        <v>181</v>
      </c>
      <c r="P49" s="2">
        <v>230</v>
      </c>
      <c r="Q49" s="2"/>
      <c r="R49" s="2">
        <v>233</v>
      </c>
      <c r="S49" s="2">
        <v>250</v>
      </c>
      <c r="T49" s="2">
        <v>281</v>
      </c>
      <c r="U49" s="2">
        <v>319</v>
      </c>
      <c r="V49" s="10">
        <v>271</v>
      </c>
      <c r="W49" s="10">
        <v>271</v>
      </c>
      <c r="X49" s="2">
        <v>271</v>
      </c>
      <c r="Y49" s="2">
        <v>365</v>
      </c>
      <c r="Z49" s="2"/>
      <c r="AA49" s="2">
        <v>365</v>
      </c>
      <c r="AB49" s="2">
        <v>488</v>
      </c>
      <c r="AC49" s="2">
        <v>522</v>
      </c>
      <c r="AD49" s="2">
        <v>522</v>
      </c>
    </row>
    <row r="50" spans="1:30" x14ac:dyDescent="0.3">
      <c r="A50" s="9">
        <v>29</v>
      </c>
      <c r="B50" s="9">
        <v>193</v>
      </c>
      <c r="C50" s="9">
        <v>242</v>
      </c>
      <c r="D50" s="9">
        <v>242</v>
      </c>
      <c r="E50" s="9">
        <v>306</v>
      </c>
      <c r="F50" s="9">
        <v>306</v>
      </c>
      <c r="G50" s="9">
        <v>378</v>
      </c>
      <c r="H50" s="9">
        <v>412</v>
      </c>
      <c r="I50" s="9">
        <f t="shared" si="0"/>
        <v>427</v>
      </c>
      <c r="J50" s="9">
        <v>496</v>
      </c>
      <c r="K50" s="9">
        <v>520</v>
      </c>
      <c r="N50" s="2">
        <v>29</v>
      </c>
      <c r="O50" s="2">
        <v>181</v>
      </c>
      <c r="P50" s="2">
        <v>232</v>
      </c>
      <c r="Q50" s="2"/>
      <c r="R50" s="2">
        <v>233</v>
      </c>
      <c r="S50" s="2">
        <v>251</v>
      </c>
      <c r="T50" s="2">
        <v>282</v>
      </c>
      <c r="U50" s="2">
        <v>323</v>
      </c>
      <c r="V50" s="10">
        <v>271</v>
      </c>
      <c r="W50" s="10">
        <v>271</v>
      </c>
      <c r="X50" s="2">
        <v>271</v>
      </c>
      <c r="Y50" s="2">
        <v>369</v>
      </c>
      <c r="Z50" s="2"/>
      <c r="AA50" s="2">
        <v>369</v>
      </c>
      <c r="AB50" s="2">
        <v>488</v>
      </c>
      <c r="AC50" s="2">
        <v>522</v>
      </c>
      <c r="AD50" s="2">
        <v>522</v>
      </c>
    </row>
    <row r="51" spans="1:30" x14ac:dyDescent="0.3">
      <c r="A51" s="9">
        <v>30</v>
      </c>
      <c r="B51" s="9">
        <v>194</v>
      </c>
      <c r="C51" s="9">
        <v>244</v>
      </c>
      <c r="D51" s="9">
        <v>244</v>
      </c>
      <c r="E51" s="9">
        <v>306</v>
      </c>
      <c r="F51" s="9">
        <v>306</v>
      </c>
      <c r="G51" s="9">
        <v>378</v>
      </c>
      <c r="H51" s="9">
        <v>412</v>
      </c>
      <c r="I51" s="9">
        <f t="shared" si="0"/>
        <v>427</v>
      </c>
      <c r="J51" s="9">
        <v>496</v>
      </c>
      <c r="K51" s="9">
        <v>520</v>
      </c>
      <c r="N51" s="2">
        <v>30</v>
      </c>
      <c r="O51" s="2">
        <v>181</v>
      </c>
      <c r="P51" s="2">
        <v>234</v>
      </c>
      <c r="Q51" s="2"/>
      <c r="R51" s="2">
        <v>233</v>
      </c>
      <c r="S51" s="2">
        <v>253</v>
      </c>
      <c r="T51" s="2">
        <v>284</v>
      </c>
      <c r="U51" s="2">
        <v>328</v>
      </c>
      <c r="V51" s="10">
        <v>271</v>
      </c>
      <c r="W51" s="10">
        <v>271</v>
      </c>
      <c r="X51" s="2">
        <v>271</v>
      </c>
      <c r="Y51" s="2">
        <v>374</v>
      </c>
      <c r="Z51" s="2"/>
      <c r="AA51" s="2">
        <v>374</v>
      </c>
      <c r="AB51" s="2">
        <v>488</v>
      </c>
      <c r="AC51" s="2">
        <v>522</v>
      </c>
      <c r="AD51" s="2">
        <v>522</v>
      </c>
    </row>
    <row r="52" spans="1:30" x14ac:dyDescent="0.3">
      <c r="A52" s="9">
        <v>31</v>
      </c>
      <c r="B52" s="9">
        <v>194</v>
      </c>
      <c r="C52" s="9">
        <v>244</v>
      </c>
      <c r="D52" s="9">
        <v>244</v>
      </c>
      <c r="E52" s="9">
        <v>306</v>
      </c>
      <c r="F52" s="9">
        <v>306</v>
      </c>
      <c r="G52" s="9">
        <v>378</v>
      </c>
      <c r="H52" s="9">
        <v>412</v>
      </c>
      <c r="I52" s="9">
        <f t="shared" si="0"/>
        <v>427</v>
      </c>
      <c r="J52" s="9">
        <v>496</v>
      </c>
      <c r="K52" s="9">
        <v>520</v>
      </c>
      <c r="N52" s="2">
        <v>31</v>
      </c>
      <c r="O52" s="2">
        <v>181</v>
      </c>
      <c r="P52" s="2">
        <v>235</v>
      </c>
      <c r="Q52" s="2"/>
      <c r="R52" s="2">
        <v>233</v>
      </c>
      <c r="S52" s="2">
        <v>255</v>
      </c>
      <c r="T52" s="2">
        <v>286</v>
      </c>
      <c r="U52" s="2">
        <v>333</v>
      </c>
      <c r="V52" s="10">
        <v>271</v>
      </c>
      <c r="W52" s="10">
        <v>271</v>
      </c>
      <c r="X52" s="2">
        <v>271</v>
      </c>
      <c r="Y52" s="2">
        <v>378</v>
      </c>
      <c r="Z52" s="2"/>
      <c r="AA52" s="2">
        <v>378</v>
      </c>
      <c r="AB52" s="2">
        <v>488</v>
      </c>
      <c r="AC52" s="2">
        <v>522</v>
      </c>
      <c r="AD52" s="2">
        <v>522</v>
      </c>
    </row>
    <row r="53" spans="1:30" x14ac:dyDescent="0.3">
      <c r="A53" s="9">
        <v>32</v>
      </c>
      <c r="B53" s="9">
        <v>194</v>
      </c>
      <c r="C53" s="9">
        <v>244</v>
      </c>
      <c r="D53" s="9">
        <v>244</v>
      </c>
      <c r="E53" s="9">
        <v>306</v>
      </c>
      <c r="F53" s="9">
        <v>306</v>
      </c>
      <c r="G53" s="9">
        <v>378</v>
      </c>
      <c r="H53" s="9">
        <v>412</v>
      </c>
      <c r="I53" s="9">
        <f t="shared" si="0"/>
        <v>427</v>
      </c>
      <c r="J53" s="9">
        <v>496</v>
      </c>
      <c r="K53" s="9">
        <v>520</v>
      </c>
      <c r="N53" s="2">
        <v>32</v>
      </c>
      <c r="O53" s="2">
        <v>181</v>
      </c>
      <c r="P53" s="2">
        <v>237</v>
      </c>
      <c r="Q53" s="2"/>
      <c r="R53" s="2">
        <v>233</v>
      </c>
      <c r="S53" s="2">
        <v>256</v>
      </c>
      <c r="T53" s="2">
        <v>288</v>
      </c>
      <c r="U53" s="2">
        <v>339</v>
      </c>
      <c r="V53" s="10">
        <v>271</v>
      </c>
      <c r="W53" s="10">
        <v>271</v>
      </c>
      <c r="X53" s="2">
        <v>271</v>
      </c>
      <c r="Y53" s="2">
        <v>382</v>
      </c>
      <c r="Z53" s="2"/>
      <c r="AA53" s="2">
        <v>382</v>
      </c>
      <c r="AB53" s="2">
        <v>488</v>
      </c>
      <c r="AC53" s="2">
        <v>522</v>
      </c>
      <c r="AD53" s="2">
        <v>522</v>
      </c>
    </row>
    <row r="54" spans="1:30" x14ac:dyDescent="0.3">
      <c r="A54" s="9">
        <v>33</v>
      </c>
      <c r="B54" s="9">
        <v>194</v>
      </c>
      <c r="C54" s="9">
        <v>244</v>
      </c>
      <c r="D54" s="9">
        <v>244</v>
      </c>
      <c r="E54" s="9">
        <v>306</v>
      </c>
      <c r="F54" s="9">
        <v>306</v>
      </c>
      <c r="G54" s="9">
        <v>378</v>
      </c>
      <c r="H54" s="9">
        <v>412</v>
      </c>
      <c r="I54" s="9">
        <f t="shared" si="0"/>
        <v>427</v>
      </c>
      <c r="J54" s="9">
        <v>496</v>
      </c>
      <c r="K54" s="9">
        <v>520</v>
      </c>
      <c r="N54" s="2">
        <v>33</v>
      </c>
      <c r="O54" s="2">
        <v>181</v>
      </c>
      <c r="P54" s="2">
        <v>239</v>
      </c>
      <c r="Q54" s="2"/>
      <c r="R54" s="2">
        <v>233</v>
      </c>
      <c r="S54" s="2">
        <v>258</v>
      </c>
      <c r="T54" s="2">
        <v>289</v>
      </c>
      <c r="U54" s="2">
        <v>339</v>
      </c>
      <c r="V54" s="10">
        <v>271</v>
      </c>
      <c r="W54" s="10">
        <v>271</v>
      </c>
      <c r="X54" s="2">
        <v>271</v>
      </c>
      <c r="Y54" s="2">
        <v>386</v>
      </c>
      <c r="Z54" s="2"/>
      <c r="AA54" s="2">
        <v>386</v>
      </c>
      <c r="AB54" s="2">
        <v>488</v>
      </c>
      <c r="AC54" s="2">
        <v>522</v>
      </c>
      <c r="AD54" s="2">
        <v>522</v>
      </c>
    </row>
    <row r="55" spans="1:30" x14ac:dyDescent="0.3">
      <c r="A55" s="9">
        <v>34</v>
      </c>
      <c r="B55" s="9">
        <v>194</v>
      </c>
      <c r="C55" s="9">
        <v>244</v>
      </c>
      <c r="D55" s="9">
        <v>244</v>
      </c>
      <c r="E55" s="9">
        <v>306</v>
      </c>
      <c r="F55" s="9">
        <v>306</v>
      </c>
      <c r="G55" s="9">
        <v>378</v>
      </c>
      <c r="H55" s="9">
        <v>412</v>
      </c>
      <c r="I55" s="9">
        <f t="shared" si="0"/>
        <v>427</v>
      </c>
      <c r="J55" s="9">
        <v>496</v>
      </c>
      <c r="K55" s="9">
        <v>520</v>
      </c>
      <c r="N55" s="2">
        <v>34</v>
      </c>
      <c r="O55" s="2">
        <v>181</v>
      </c>
      <c r="P55" s="2">
        <v>240</v>
      </c>
      <c r="Q55" s="2"/>
      <c r="R55" s="2">
        <v>233</v>
      </c>
      <c r="S55" s="2">
        <v>260</v>
      </c>
      <c r="T55" s="2">
        <v>291</v>
      </c>
      <c r="U55" s="2">
        <v>339</v>
      </c>
      <c r="V55" s="10">
        <v>271</v>
      </c>
      <c r="W55" s="10">
        <v>271</v>
      </c>
      <c r="X55" s="2">
        <v>271</v>
      </c>
      <c r="Y55" s="2">
        <v>391</v>
      </c>
      <c r="Z55" s="2"/>
      <c r="AA55" s="2">
        <v>391</v>
      </c>
      <c r="AB55" s="2">
        <v>488</v>
      </c>
      <c r="AC55" s="2">
        <v>522</v>
      </c>
      <c r="AD55" s="2">
        <v>522</v>
      </c>
    </row>
    <row r="56" spans="1:30" x14ac:dyDescent="0.3">
      <c r="A56" s="9">
        <v>35</v>
      </c>
      <c r="B56" s="9">
        <v>194</v>
      </c>
      <c r="C56" s="9">
        <v>244</v>
      </c>
      <c r="D56" s="9">
        <v>244</v>
      </c>
      <c r="E56" s="9">
        <v>306</v>
      </c>
      <c r="F56" s="9">
        <v>306</v>
      </c>
      <c r="G56" s="9">
        <v>378</v>
      </c>
      <c r="H56" s="9">
        <v>412</v>
      </c>
      <c r="I56" s="9">
        <f t="shared" si="0"/>
        <v>427</v>
      </c>
      <c r="J56" s="9">
        <v>496</v>
      </c>
      <c r="K56" s="9">
        <v>520</v>
      </c>
      <c r="N56" s="2">
        <v>35</v>
      </c>
      <c r="O56" s="2">
        <v>181</v>
      </c>
      <c r="P56" s="2">
        <v>242</v>
      </c>
      <c r="Q56" s="2"/>
      <c r="R56" s="2">
        <v>233</v>
      </c>
      <c r="S56" s="2">
        <v>261</v>
      </c>
      <c r="T56" s="2">
        <v>293</v>
      </c>
      <c r="U56" s="2">
        <v>339</v>
      </c>
      <c r="V56" s="10">
        <v>271</v>
      </c>
      <c r="W56" s="10">
        <v>271</v>
      </c>
      <c r="X56" s="2">
        <v>271</v>
      </c>
      <c r="Y56" s="2">
        <v>395</v>
      </c>
      <c r="Z56" s="2"/>
      <c r="AA56" s="2">
        <v>395</v>
      </c>
      <c r="AB56" s="2">
        <v>488</v>
      </c>
      <c r="AC56" s="2">
        <v>522</v>
      </c>
      <c r="AD56" s="2">
        <v>522</v>
      </c>
    </row>
    <row r="57" spans="1:30" x14ac:dyDescent="0.3">
      <c r="A57" s="9">
        <v>36</v>
      </c>
      <c r="B57" s="9">
        <v>194</v>
      </c>
      <c r="C57" s="9">
        <v>244</v>
      </c>
      <c r="D57" s="9">
        <v>244</v>
      </c>
      <c r="E57" s="9">
        <v>306</v>
      </c>
      <c r="F57" s="9">
        <v>306</v>
      </c>
      <c r="G57" s="9">
        <v>378</v>
      </c>
      <c r="H57" s="9">
        <v>412</v>
      </c>
      <c r="I57" s="9">
        <f t="shared" si="0"/>
        <v>427</v>
      </c>
      <c r="J57" s="9">
        <v>496</v>
      </c>
      <c r="K57" s="9">
        <v>520</v>
      </c>
      <c r="N57" s="2">
        <v>36</v>
      </c>
      <c r="O57" s="2">
        <v>181</v>
      </c>
      <c r="P57" s="2">
        <v>244</v>
      </c>
      <c r="Q57" s="2"/>
      <c r="R57" s="2">
        <v>233</v>
      </c>
      <c r="S57" s="2">
        <v>263</v>
      </c>
      <c r="T57" s="2">
        <v>294</v>
      </c>
      <c r="U57" s="2">
        <v>339</v>
      </c>
      <c r="V57" s="10">
        <v>271</v>
      </c>
      <c r="W57" s="10">
        <v>271</v>
      </c>
      <c r="X57" s="2">
        <v>271</v>
      </c>
      <c r="Y57" s="2">
        <v>399</v>
      </c>
      <c r="Z57" s="2"/>
      <c r="AA57" s="2">
        <v>399</v>
      </c>
      <c r="AB57" s="2">
        <v>488</v>
      </c>
      <c r="AC57" s="2">
        <v>522</v>
      </c>
      <c r="AD57" s="2">
        <v>522</v>
      </c>
    </row>
    <row r="58" spans="1:30" x14ac:dyDescent="0.3">
      <c r="A58" s="9">
        <v>37</v>
      </c>
      <c r="B58" s="9">
        <v>194</v>
      </c>
      <c r="C58" s="9">
        <v>244</v>
      </c>
      <c r="D58" s="9">
        <v>244</v>
      </c>
      <c r="E58" s="9">
        <v>306</v>
      </c>
      <c r="F58" s="9">
        <v>306</v>
      </c>
      <c r="G58" s="9">
        <v>378</v>
      </c>
      <c r="H58" s="9">
        <v>412</v>
      </c>
      <c r="I58" s="9">
        <f t="shared" si="0"/>
        <v>427</v>
      </c>
      <c r="J58" s="9">
        <v>496</v>
      </c>
      <c r="K58" s="9">
        <v>520</v>
      </c>
      <c r="N58" s="2">
        <v>37</v>
      </c>
      <c r="O58" s="2">
        <v>181</v>
      </c>
      <c r="P58" s="2">
        <v>245</v>
      </c>
      <c r="Q58" s="2"/>
      <c r="R58" s="2">
        <v>233</v>
      </c>
      <c r="S58" s="2">
        <v>265</v>
      </c>
      <c r="T58" s="2">
        <v>296</v>
      </c>
      <c r="U58" s="2">
        <v>339</v>
      </c>
      <c r="V58" s="10">
        <v>271</v>
      </c>
      <c r="W58" s="10">
        <v>271</v>
      </c>
      <c r="X58" s="2">
        <v>271</v>
      </c>
      <c r="Y58" s="2">
        <v>403</v>
      </c>
      <c r="Z58" s="2"/>
      <c r="AA58" s="2">
        <v>403</v>
      </c>
      <c r="AB58" s="2">
        <v>488</v>
      </c>
      <c r="AC58" s="2">
        <v>522</v>
      </c>
      <c r="AD58" s="2">
        <v>522</v>
      </c>
    </row>
    <row r="59" spans="1:30" x14ac:dyDescent="0.3">
      <c r="A59" s="9">
        <v>38</v>
      </c>
      <c r="B59" s="9">
        <v>194</v>
      </c>
      <c r="C59" s="9">
        <v>244</v>
      </c>
      <c r="D59" s="9">
        <v>244</v>
      </c>
      <c r="E59" s="9">
        <v>306</v>
      </c>
      <c r="F59" s="9">
        <v>306</v>
      </c>
      <c r="G59" s="9">
        <v>378</v>
      </c>
      <c r="H59" s="9">
        <v>412</v>
      </c>
      <c r="I59" s="9">
        <f t="shared" si="0"/>
        <v>427</v>
      </c>
      <c r="J59" s="9">
        <v>496</v>
      </c>
      <c r="K59" s="9">
        <v>520</v>
      </c>
      <c r="N59" s="2">
        <v>38</v>
      </c>
      <c r="O59" s="2">
        <v>181</v>
      </c>
      <c r="P59" s="2">
        <v>247</v>
      </c>
      <c r="Q59" s="2"/>
      <c r="R59" s="2">
        <v>233</v>
      </c>
      <c r="S59" s="2">
        <v>266</v>
      </c>
      <c r="T59" s="2">
        <v>298</v>
      </c>
      <c r="U59" s="2">
        <v>339</v>
      </c>
      <c r="V59" s="10">
        <v>271</v>
      </c>
      <c r="W59" s="10">
        <v>271</v>
      </c>
      <c r="X59" s="2">
        <v>271</v>
      </c>
      <c r="Y59" s="2">
        <v>407</v>
      </c>
      <c r="Z59" s="2"/>
      <c r="AA59" s="2">
        <v>407</v>
      </c>
      <c r="AB59" s="2">
        <v>488</v>
      </c>
      <c r="AC59" s="2">
        <v>522</v>
      </c>
      <c r="AD59" s="2">
        <v>522</v>
      </c>
    </row>
    <row r="60" spans="1:30" x14ac:dyDescent="0.3">
      <c r="A60" s="9">
        <v>39</v>
      </c>
      <c r="B60" s="9">
        <v>194</v>
      </c>
      <c r="C60" s="9">
        <v>244</v>
      </c>
      <c r="D60" s="9">
        <v>244</v>
      </c>
      <c r="E60" s="9">
        <v>306</v>
      </c>
      <c r="F60" s="9">
        <v>306</v>
      </c>
      <c r="G60" s="9">
        <v>378</v>
      </c>
      <c r="H60" s="9">
        <v>412</v>
      </c>
      <c r="I60" s="9">
        <f t="shared" si="0"/>
        <v>427</v>
      </c>
      <c r="J60" s="9">
        <v>496</v>
      </c>
      <c r="K60" s="9">
        <v>520</v>
      </c>
      <c r="N60" s="2">
        <v>39</v>
      </c>
      <c r="O60" s="2">
        <v>181</v>
      </c>
      <c r="P60" s="2">
        <v>249</v>
      </c>
      <c r="Q60" s="2"/>
      <c r="R60" s="2">
        <v>233</v>
      </c>
      <c r="S60" s="2">
        <v>268</v>
      </c>
      <c r="T60" s="2">
        <v>300</v>
      </c>
      <c r="U60" s="2">
        <v>339</v>
      </c>
      <c r="V60" s="10">
        <v>271</v>
      </c>
      <c r="W60" s="10">
        <v>271</v>
      </c>
      <c r="X60" s="2">
        <v>271</v>
      </c>
      <c r="Y60" s="2">
        <v>412</v>
      </c>
      <c r="Z60" s="2"/>
      <c r="AA60" s="2">
        <v>412</v>
      </c>
      <c r="AB60" s="2">
        <v>488</v>
      </c>
      <c r="AC60" s="2">
        <v>522</v>
      </c>
      <c r="AD60" s="2">
        <v>522</v>
      </c>
    </row>
    <row r="62" spans="1:30" x14ac:dyDescent="0.3">
      <c r="K62" s="62"/>
    </row>
    <row r="63" spans="1:30" x14ac:dyDescent="0.3">
      <c r="E63" s="62"/>
    </row>
    <row r="65" spans="5:5" x14ac:dyDescent="0.3">
      <c r="E65" s="67"/>
    </row>
    <row r="66" spans="5:5" x14ac:dyDescent="0.3">
      <c r="E66" s="62"/>
    </row>
  </sheetData>
  <mergeCells count="23">
    <mergeCell ref="A15:B15"/>
    <mergeCell ref="A2:B2"/>
    <mergeCell ref="G13:H13"/>
    <mergeCell ref="G14:H14"/>
    <mergeCell ref="G15:H15"/>
    <mergeCell ref="G8:H8"/>
    <mergeCell ref="G9:H9"/>
    <mergeCell ref="AC19:AD19"/>
    <mergeCell ref="A3:B3"/>
    <mergeCell ref="A6:B6"/>
    <mergeCell ref="A13:B13"/>
    <mergeCell ref="A17:B17"/>
    <mergeCell ref="O19:R19"/>
    <mergeCell ref="T19:X19"/>
    <mergeCell ref="Y19:AA19"/>
    <mergeCell ref="A7:B7"/>
    <mergeCell ref="A12:B12"/>
    <mergeCell ref="A8:B8"/>
    <mergeCell ref="A14:B14"/>
    <mergeCell ref="G7:H7"/>
    <mergeCell ref="G6:H6"/>
    <mergeCell ref="G12:H12"/>
    <mergeCell ref="A9:B9"/>
  </mergeCells>
  <printOptions horizontalCentered="1"/>
  <pageMargins left="0.31496062992125984" right="0.31496062992125984" top="0.35433070866141736" bottom="0.35433070866141736" header="0.31496062992125984" footer="0.31496062992125984"/>
  <pageSetup paperSize="8" scale="75"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R72"/>
  <sheetViews>
    <sheetView zoomScale="70" zoomScaleNormal="70" workbookViewId="0">
      <selection activeCell="C37" sqref="C37"/>
    </sheetView>
  </sheetViews>
  <sheetFormatPr defaultColWidth="11.5546875" defaultRowHeight="14.4" x14ac:dyDescent="0.3"/>
  <cols>
    <col min="1" max="1" width="54.5546875" customWidth="1"/>
    <col min="2" max="2" width="29.109375" customWidth="1"/>
    <col min="3" max="3" width="29.33203125" customWidth="1"/>
    <col min="4" max="6" width="29.109375" customWidth="1"/>
    <col min="7" max="7" width="26.33203125" customWidth="1"/>
    <col min="8" max="8" width="32.109375" customWidth="1"/>
    <col min="9" max="9" width="22.5546875" customWidth="1"/>
    <col min="10" max="10" width="54.6640625" customWidth="1"/>
    <col min="11" max="15" width="29.33203125" customWidth="1"/>
    <col min="16" max="20" width="22.5546875" customWidth="1"/>
    <col min="22" max="23" width="14.6640625" customWidth="1"/>
    <col min="24" max="25" width="12.6640625" customWidth="1"/>
  </cols>
  <sheetData>
    <row r="1" spans="1:18" x14ac:dyDescent="0.3">
      <c r="G1" s="253"/>
    </row>
    <row r="2" spans="1:18" ht="15" thickBot="1" x14ac:dyDescent="0.35">
      <c r="A2" s="23" t="s">
        <v>484</v>
      </c>
      <c r="G2" s="314"/>
    </row>
    <row r="3" spans="1:18" ht="15.6" x14ac:dyDescent="0.3">
      <c r="A3" s="205"/>
      <c r="B3" s="206" t="s">
        <v>233</v>
      </c>
      <c r="C3" s="206" t="s">
        <v>234</v>
      </c>
      <c r="D3" s="206" t="s">
        <v>178</v>
      </c>
      <c r="E3" s="206" t="s">
        <v>179</v>
      </c>
      <c r="F3" s="206" t="s">
        <v>180</v>
      </c>
      <c r="G3" s="354" t="s">
        <v>456</v>
      </c>
      <c r="H3" s="358" t="s">
        <v>57</v>
      </c>
      <c r="J3" s="273" t="s">
        <v>257</v>
      </c>
      <c r="K3" s="274"/>
      <c r="L3" s="274"/>
      <c r="M3" s="274"/>
      <c r="N3" s="274"/>
      <c r="O3" s="274"/>
      <c r="P3" s="275"/>
    </row>
    <row r="4" spans="1:18" x14ac:dyDescent="0.3">
      <c r="A4" s="213" t="s">
        <v>235</v>
      </c>
      <c r="B4" s="112">
        <f>'F2 - Données facturation'!$F$31</f>
        <v>0</v>
      </c>
      <c r="C4" s="112">
        <f>'F2 - Données facturation'!$G$31</f>
        <v>0</v>
      </c>
      <c r="D4" s="112">
        <f>'F2 - Données facturation'!$H$31</f>
        <v>0</v>
      </c>
      <c r="E4" s="112">
        <f>'F2 - Données facturation'!$I$31</f>
        <v>0</v>
      </c>
      <c r="F4" s="112">
        <f>'F2 - Données facturation'!$J$31</f>
        <v>0</v>
      </c>
      <c r="G4" s="355">
        <f>'F2 - Données facturation'!$K$31</f>
        <v>0</v>
      </c>
      <c r="H4" s="366">
        <f>SUM(B4:G4)</f>
        <v>0</v>
      </c>
      <c r="J4" s="276" t="s">
        <v>258</v>
      </c>
      <c r="P4" s="210"/>
    </row>
    <row r="5" spans="1:18" x14ac:dyDescent="0.3">
      <c r="A5" s="207" t="s">
        <v>236</v>
      </c>
      <c r="B5" s="101">
        <f>B4/'F2 - Données facturation'!$R$30</f>
        <v>0</v>
      </c>
      <c r="C5" s="101">
        <f>C4/'F2 - Données facturation'!$R$30</f>
        <v>0</v>
      </c>
      <c r="D5" s="101">
        <f>D4/'F2 - Données facturation'!$R$30</f>
        <v>0</v>
      </c>
      <c r="E5" s="101">
        <f>E4/'F2 - Données facturation'!$R$30</f>
        <v>0</v>
      </c>
      <c r="F5" s="101">
        <f>F4/'F2 - Données facturation'!$R$30</f>
        <v>0</v>
      </c>
      <c r="G5" s="356">
        <f>G4/'F2 - Données facturation'!$R$30</f>
        <v>0</v>
      </c>
      <c r="H5" s="367">
        <f>SUM(B5:G5)</f>
        <v>0</v>
      </c>
      <c r="J5" s="990" t="s">
        <v>259</v>
      </c>
      <c r="K5" s="991"/>
      <c r="L5" s="991"/>
      <c r="M5" s="306">
        <v>7</v>
      </c>
      <c r="P5" s="210"/>
    </row>
    <row r="6" spans="1:18" x14ac:dyDescent="0.3">
      <c r="A6" s="208" t="s">
        <v>239</v>
      </c>
      <c r="B6" s="24">
        <f>B5-B5*0.1*80/'F2 - Données facturation'!$R$30</f>
        <v>0</v>
      </c>
      <c r="C6" s="24">
        <f>C5-C5*0.1*80/'F2 - Données facturation'!$R$30</f>
        <v>0</v>
      </c>
      <c r="D6" s="24">
        <f>D5-D5*0.1*80/'F2 - Données facturation'!$R$30</f>
        <v>0</v>
      </c>
      <c r="E6" s="24">
        <f>E5-E5*0.1*80/'F2 - Données facturation'!$R$30</f>
        <v>0</v>
      </c>
      <c r="F6" s="24">
        <f>F5-F5*0.1*80/'F2 - Données facturation'!$R$30</f>
        <v>0</v>
      </c>
      <c r="G6" s="357">
        <f>G5-G5*0.1*80/'F2 - Données facturation'!$R$30</f>
        <v>0</v>
      </c>
      <c r="H6" s="367">
        <f>SUM(B6:G6)</f>
        <v>0</v>
      </c>
      <c r="J6" s="990" t="s">
        <v>438</v>
      </c>
      <c r="K6" s="991"/>
      <c r="L6" s="991"/>
      <c r="M6" s="306" t="s">
        <v>17</v>
      </c>
      <c r="N6" s="314"/>
      <c r="O6" s="61"/>
      <c r="P6" s="328"/>
      <c r="Q6" s="314"/>
      <c r="R6" s="325"/>
    </row>
    <row r="7" spans="1:18" x14ac:dyDescent="0.3">
      <c r="A7" s="207" t="s">
        <v>237</v>
      </c>
      <c r="B7" s="2">
        <v>0.73450000000000004</v>
      </c>
      <c r="C7" s="2">
        <v>0.82630000000000003</v>
      </c>
      <c r="D7" s="2">
        <v>1.22</v>
      </c>
      <c r="E7" s="2">
        <v>1.0304</v>
      </c>
      <c r="F7" s="2">
        <v>1.1936</v>
      </c>
      <c r="G7" s="570">
        <v>1.39</v>
      </c>
      <c r="H7" s="368"/>
      <c r="J7" s="990" t="s">
        <v>439</v>
      </c>
      <c r="K7" s="991"/>
      <c r="L7" s="991"/>
      <c r="M7" s="306" t="s">
        <v>19</v>
      </c>
      <c r="N7" s="314"/>
      <c r="O7" s="61"/>
      <c r="P7" s="329"/>
      <c r="Q7" s="316"/>
      <c r="R7" s="326"/>
    </row>
    <row r="8" spans="1:18" x14ac:dyDescent="0.3">
      <c r="A8" s="208" t="s">
        <v>238</v>
      </c>
      <c r="B8" s="24">
        <f t="shared" ref="B8:C8" si="0">B6*B7</f>
        <v>0</v>
      </c>
      <c r="C8" s="24">
        <f t="shared" si="0"/>
        <v>0</v>
      </c>
      <c r="D8" s="24">
        <f>D6*D7</f>
        <v>0</v>
      </c>
      <c r="E8" s="24">
        <f>E6*E7</f>
        <v>0</v>
      </c>
      <c r="F8" s="24">
        <f>F6*F7</f>
        <v>0</v>
      </c>
      <c r="G8" s="357">
        <f>G6*G7</f>
        <v>0</v>
      </c>
      <c r="H8" s="367">
        <f>SUM(B8:G8)</f>
        <v>0</v>
      </c>
      <c r="J8" s="990" t="s">
        <v>440</v>
      </c>
      <c r="K8" s="991"/>
      <c r="L8" s="991"/>
      <c r="M8" s="306" t="s">
        <v>21</v>
      </c>
      <c r="N8" s="314"/>
      <c r="O8" s="61"/>
      <c r="P8" s="330"/>
      <c r="Q8" s="316"/>
      <c r="R8" s="326"/>
    </row>
    <row r="9" spans="1:18" x14ac:dyDescent="0.3">
      <c r="A9" s="209" t="s">
        <v>262</v>
      </c>
      <c r="H9" s="369"/>
      <c r="J9" s="976" t="s">
        <v>260</v>
      </c>
      <c r="K9" s="977"/>
      <c r="L9" s="977"/>
      <c r="M9" s="306" t="s">
        <v>23</v>
      </c>
      <c r="N9" s="314"/>
      <c r="O9" s="314"/>
      <c r="P9" s="319"/>
      <c r="Q9" s="314"/>
      <c r="R9" s="325"/>
    </row>
    <row r="10" spans="1:18" x14ac:dyDescent="0.3">
      <c r="A10" s="207" t="s">
        <v>240</v>
      </c>
      <c r="B10" s="292">
        <f>23%*0.8*B7*B6</f>
        <v>0</v>
      </c>
      <c r="C10" s="292">
        <f>30%*0.8*C7*C6</f>
        <v>0</v>
      </c>
      <c r="D10" s="292">
        <f>40%*0.8*D7*D6</f>
        <v>0</v>
      </c>
      <c r="E10" s="292">
        <f>40%*0.8*E7*E6</f>
        <v>0</v>
      </c>
      <c r="F10" s="292">
        <f>40%*0.8*F7*F6</f>
        <v>0</v>
      </c>
      <c r="G10" s="292">
        <f>26.5%*0.8*G7*G6</f>
        <v>0</v>
      </c>
      <c r="H10" s="367">
        <f>SUM(B10:G10)</f>
        <v>0</v>
      </c>
      <c r="J10" s="976" t="s">
        <v>261</v>
      </c>
      <c r="K10" s="977"/>
      <c r="L10" s="977"/>
      <c r="M10" s="306">
        <v>11</v>
      </c>
      <c r="N10" s="314"/>
      <c r="O10" s="314"/>
      <c r="P10" s="319"/>
      <c r="Q10" s="314"/>
      <c r="R10" s="325"/>
    </row>
    <row r="11" spans="1:18" x14ac:dyDescent="0.3">
      <c r="A11" s="207" t="s">
        <v>241</v>
      </c>
      <c r="B11" s="292">
        <f>(1-0.23*0.8-0.2*0.8-0.2)*B7*B6</f>
        <v>0</v>
      </c>
      <c r="C11" s="292">
        <f>(1-0.3*0.8-0.2*0.8-0.2)*C7*C6</f>
        <v>0</v>
      </c>
      <c r="D11" s="292">
        <f>(1-0.4*0.8-0.2*0.8-0.2)*D7*D6</f>
        <v>0</v>
      </c>
      <c r="E11" s="292">
        <f>(1-0.4*0.8-0.2*0.8-0.2)*E7*E6</f>
        <v>0</v>
      </c>
      <c r="F11" s="292">
        <f>(1-0.4*0.8-0.2*0.8-0.2)*F7*F6</f>
        <v>0</v>
      </c>
      <c r="G11" s="292">
        <f>(1-0.265*0.8-0.2*0.8-0.2)*G7*G6</f>
        <v>0</v>
      </c>
      <c r="H11" s="367">
        <f>SUM(B11:G11)</f>
        <v>0</v>
      </c>
      <c r="J11" s="212"/>
      <c r="N11" s="314"/>
      <c r="O11" s="314"/>
      <c r="P11" s="319"/>
      <c r="Q11" s="314"/>
      <c r="R11" s="325"/>
    </row>
    <row r="12" spans="1:18" ht="15" thickBot="1" x14ac:dyDescent="0.35">
      <c r="A12" s="207" t="s">
        <v>242</v>
      </c>
      <c r="B12" s="292">
        <f t="shared" ref="B12:G12" si="1">20%*0.8*B7*B6</f>
        <v>0</v>
      </c>
      <c r="C12" s="292">
        <f t="shared" si="1"/>
        <v>0</v>
      </c>
      <c r="D12" s="292">
        <f t="shared" si="1"/>
        <v>0</v>
      </c>
      <c r="E12" s="292">
        <f t="shared" si="1"/>
        <v>0</v>
      </c>
      <c r="F12" s="292">
        <f t="shared" si="1"/>
        <v>0</v>
      </c>
      <c r="G12" s="292">
        <f t="shared" si="1"/>
        <v>0</v>
      </c>
      <c r="H12" s="367">
        <f>SUM(B12:G12)</f>
        <v>0</v>
      </c>
      <c r="J12" s="276"/>
      <c r="N12" s="314"/>
      <c r="O12" s="314"/>
      <c r="P12" s="319"/>
      <c r="Q12" s="314"/>
      <c r="R12" s="314"/>
    </row>
    <row r="13" spans="1:18" ht="15.6" x14ac:dyDescent="0.3">
      <c r="A13" s="207" t="s">
        <v>243</v>
      </c>
      <c r="B13" s="292">
        <f t="shared" ref="B13:G13" si="2">20%*B7*B6</f>
        <v>0</v>
      </c>
      <c r="C13" s="292">
        <f t="shared" si="2"/>
        <v>0</v>
      </c>
      <c r="D13" s="292">
        <f t="shared" si="2"/>
        <v>0</v>
      </c>
      <c r="E13" s="292">
        <f t="shared" si="2"/>
        <v>0</v>
      </c>
      <c r="F13" s="292">
        <f t="shared" si="2"/>
        <v>0</v>
      </c>
      <c r="G13" s="292">
        <f t="shared" si="2"/>
        <v>0</v>
      </c>
      <c r="H13" s="367">
        <f>SUM(B13:G13)</f>
        <v>0</v>
      </c>
      <c r="J13" s="668"/>
      <c r="K13" s="665" t="s">
        <v>17</v>
      </c>
      <c r="L13" s="206" t="s">
        <v>19</v>
      </c>
      <c r="M13" s="206" t="s">
        <v>21</v>
      </c>
      <c r="N13" s="206" t="s">
        <v>23</v>
      </c>
      <c r="O13" s="354">
        <v>11</v>
      </c>
      <c r="P13" s="358" t="s">
        <v>57</v>
      </c>
      <c r="Q13" s="317"/>
      <c r="R13" s="317"/>
    </row>
    <row r="14" spans="1:18" ht="15" thickBot="1" x14ac:dyDescent="0.35">
      <c r="A14" s="211"/>
      <c r="H14" s="369"/>
      <c r="J14" s="669" t="s">
        <v>432</v>
      </c>
      <c r="K14" s="385">
        <f>'F3 - Relevé du personnel'!Y38+'F3 - Relevé du personnel'!Y40+'F3 - Relevé du personnel'!Y65+'F3 - Relevé du personnel'!Y66</f>
        <v>0</v>
      </c>
      <c r="L14" s="101">
        <f>'F3 - Relevé du personnel'!Y72+'F3 - Relevé du personnel'!Y74+'F3 - Relevé du personnel'!Y99+'F3 - Relevé du personnel'!Y100</f>
        <v>0</v>
      </c>
      <c r="M14" s="101">
        <f>'F3 - Relevé du personnel'!Y106+'F3 - Relevé du personnel'!Y108+'F3 - Relevé du personnel'!Y133+'F3 - Relevé du personnel'!Y134</f>
        <v>0</v>
      </c>
      <c r="N14" s="101">
        <f>'F3 - Relevé du personnel'!Y142+'F3 - Relevé du personnel'!Y168</f>
        <v>0</v>
      </c>
      <c r="O14" s="356">
        <f>'F3 - Relevé du personnel'!Y174+'F3 - Relevé du personnel'!Y176+'F3 - Relevé du personnel'!Y201+'F3 - Relevé du personnel'!Y202</f>
        <v>0</v>
      </c>
      <c r="P14" s="674">
        <f>IF('F0 - Données générales'!C3="journalier",0,'F3 - Relevé du personnel'!BG4+'F3 - Relevé du personnel'!BG6+'F3 - Relevé du personnel'!BG31+'F3 - Relevé du personnel'!BG32)</f>
        <v>0</v>
      </c>
      <c r="Q14" s="315"/>
      <c r="R14" s="327"/>
    </row>
    <row r="15" spans="1:18" ht="16.2" thickBot="1" x14ac:dyDescent="0.35">
      <c r="A15" s="973" t="s">
        <v>759</v>
      </c>
      <c r="B15" s="978" t="s">
        <v>431</v>
      </c>
      <c r="C15" s="978"/>
      <c r="D15" s="206" t="s">
        <v>178</v>
      </c>
      <c r="E15" s="206" t="s">
        <v>179</v>
      </c>
      <c r="F15" s="206" t="s">
        <v>180</v>
      </c>
      <c r="G15" s="354" t="s">
        <v>57</v>
      </c>
      <c r="H15" s="358" t="s">
        <v>57</v>
      </c>
      <c r="J15" s="670" t="s">
        <v>433</v>
      </c>
      <c r="K15" s="385">
        <f>'F3 - Relevé du personnel'!Y68</f>
        <v>0</v>
      </c>
      <c r="L15" s="101">
        <f>'F3 - Relevé du personnel'!Y102</f>
        <v>0</v>
      </c>
      <c r="M15" s="101">
        <f>'F3 - Relevé du personnel'!Y136</f>
        <v>0</v>
      </c>
      <c r="N15" s="101">
        <f>'F3 - Relevé du personnel'!Y170</f>
        <v>0</v>
      </c>
      <c r="O15" s="356">
        <f>'F3 - Relevé du personnel'!Y204</f>
        <v>0</v>
      </c>
      <c r="P15" s="674">
        <f>IF('F0 - Données générales'!C3="journalier",0,'F3 - Relevé du personnel'!BG34)</f>
        <v>0</v>
      </c>
      <c r="Q15" s="315"/>
      <c r="R15" s="327"/>
    </row>
    <row r="16" spans="1:18" ht="15" thickBot="1" x14ac:dyDescent="0.35">
      <c r="A16" s="974"/>
      <c r="B16" s="969"/>
      <c r="C16" s="970"/>
      <c r="D16" s="373"/>
      <c r="E16" s="373"/>
      <c r="F16" s="374"/>
      <c r="G16" s="375"/>
      <c r="H16" s="359">
        <f>'F3 - Relevé du personnel'!BH34</f>
        <v>0</v>
      </c>
      <c r="J16" s="670" t="s">
        <v>196</v>
      </c>
      <c r="K16" s="385">
        <f>'F2 - Données facturation'!W20</f>
        <v>0</v>
      </c>
      <c r="L16" s="101">
        <f>'F2 - Données facturation'!W20</f>
        <v>0</v>
      </c>
      <c r="M16" s="101">
        <f>'F2 - Données facturation'!W20</f>
        <v>0</v>
      </c>
      <c r="N16" s="101">
        <f>'F2 - Données facturation'!W20</f>
        <v>0</v>
      </c>
      <c r="O16" s="356">
        <f>'F2 - Données facturation'!W20</f>
        <v>0</v>
      </c>
      <c r="P16" s="675">
        <f>'F2 - Données facturation'!W20</f>
        <v>0</v>
      </c>
      <c r="Q16" s="315"/>
      <c r="R16" s="327"/>
    </row>
    <row r="17" spans="1:18" x14ac:dyDescent="0.3">
      <c r="A17" s="974"/>
      <c r="B17" s="967" t="str">
        <f>IF(B16=0,"",IF(B16&gt;=SUM(B8:C8),"Respect volume ETP prévu par l'agrément","Non respect volume ETP prévu par l'agrément"))</f>
        <v/>
      </c>
      <c r="C17" s="967"/>
      <c r="D17" s="967" t="str">
        <f>IF(D16=0,"",IF(D16&gt;=D8,"Respect volume ETP prévu par l'agrément","Non respect volume ETP prévu par l'agrément"))</f>
        <v/>
      </c>
      <c r="E17" s="967" t="str">
        <f>IF(E16=0,"",IF(E16&gt;=E8,"Respect volume ETP prévu par l'agrément","Non respect volume ETP prévu par l'agrément"))</f>
        <v/>
      </c>
      <c r="F17" s="967" t="str">
        <f>IF(F16=0,"",IF(F16&gt;=F8,"Respect volume ETP prévu par l'agrément","Non respect volume ETP prévu par l'agrément"))</f>
        <v/>
      </c>
      <c r="G17" s="967" t="str">
        <f>IF(G16=0,"",IF(G16&gt;=G8,"Respect volume ETP prévu par l'agrément","Non respect volume ETP prévu par l'agrément"))</f>
        <v/>
      </c>
      <c r="H17" s="967" t="str">
        <f>IF(H16=0,"",IF(H16&gt;=SUM(B8:G8),"Respect volume ETP prévu par l'agrément","Non respect volume ETP prévu par l'agrément"))</f>
        <v/>
      </c>
      <c r="J17" s="670" t="s">
        <v>434</v>
      </c>
      <c r="K17" s="385">
        <f>IFERROR(IF(K16="","",IF(K16&lt;0.625,K15/K16*0.625,IF(K16&gt;0.825,K15/K16*0.825,K15))),0)</f>
        <v>0</v>
      </c>
      <c r="L17" s="101">
        <f>IFERROR(IF(L16="","",IF(L16&lt;0.625,L15/L16*0.625,IF(L16&gt;0.825,L15/L16*0.825,L15))),0)</f>
        <v>0</v>
      </c>
      <c r="M17" s="101">
        <f>IFERROR(IF(M16="","",IF(M16&lt;0.625,M15/M16*0.625,IF(M16&gt;0.825,M15/M16*0.825,M15))),0)</f>
        <v>0</v>
      </c>
      <c r="N17" s="101">
        <f>IF(N16="","",IF(N16&lt;0.6,N15*N16/0.6,IF(N16&gt;0.8,N15*N16/0.8,N15)))</f>
        <v>0</v>
      </c>
      <c r="O17" s="356">
        <f>IF(O16="","",IF(O16&lt;0.625,O15*O16/0.625,IF(O16&gt;0.825,O15*O16/0.825,O15)))</f>
        <v>0</v>
      </c>
      <c r="P17" s="676">
        <f>IF(P16="","",IF(P16&lt;0.625,P15*P16/0.625,IF(P16&gt;0.825,P15*P16/0.825,P15)))</f>
        <v>0</v>
      </c>
      <c r="Q17" s="315"/>
      <c r="R17" s="314"/>
    </row>
    <row r="18" spans="1:18" ht="15" thickBot="1" x14ac:dyDescent="0.35">
      <c r="A18" s="975"/>
      <c r="B18" s="968"/>
      <c r="C18" s="968"/>
      <c r="D18" s="968"/>
      <c r="E18" s="968"/>
      <c r="F18" s="968"/>
      <c r="G18" s="968"/>
      <c r="H18" s="968"/>
      <c r="J18" s="670" t="s">
        <v>435</v>
      </c>
      <c r="K18" s="666">
        <f t="shared" ref="K18:O18" si="3">IF(K15=0,0,K14/K17)</f>
        <v>0</v>
      </c>
      <c r="L18" s="660">
        <f t="shared" si="3"/>
        <v>0</v>
      </c>
      <c r="M18" s="660">
        <f t="shared" si="3"/>
        <v>0</v>
      </c>
      <c r="N18" s="660">
        <f t="shared" si="3"/>
        <v>0</v>
      </c>
      <c r="O18" s="672">
        <f t="shared" si="3"/>
        <v>0</v>
      </c>
      <c r="P18" s="677">
        <f>IF(P15=0,0,P14/P17)</f>
        <v>0</v>
      </c>
      <c r="Q18" s="315"/>
      <c r="R18" s="314"/>
    </row>
    <row r="19" spans="1:18" ht="15" thickBot="1" x14ac:dyDescent="0.35">
      <c r="A19" s="212"/>
      <c r="G19" s="210"/>
      <c r="J19" s="671" t="s">
        <v>249</v>
      </c>
      <c r="K19" s="667" t="str">
        <f>IF(K15=0,"",IF(AND(K18&gt;0.6,K15&lt;&gt;0),"respect de l'agrément","non respect de l'agrément"))</f>
        <v/>
      </c>
      <c r="L19" s="659" t="str">
        <f>IF(L15=0,"",IF(AND(L18&gt;0.6,L15&lt;&gt;0),"respect de l'agrément","non respect de l'agrément"))</f>
        <v/>
      </c>
      <c r="M19" s="659" t="str">
        <f>IF(M15=0,"",IF(AND(M18&gt;0.7,M15&lt;&gt;0),"respect de l'agrément","non respect de l'agrément"))</f>
        <v/>
      </c>
      <c r="N19" s="659" t="str">
        <f>IF(N15=0,"",IF(AND(N18&gt;=1,N15&lt;&gt;0),"respect de l'agrément","non respect de l'agrément"))</f>
        <v/>
      </c>
      <c r="O19" s="673" t="str">
        <f>IF(O15=0,"",IF(AND(O18&gt;=1,O15&lt;&gt;0),"respect de l'agrément","non respect de l'agrément"))</f>
        <v/>
      </c>
      <c r="P19" s="678"/>
      <c r="Q19" s="315"/>
      <c r="R19" s="314"/>
    </row>
    <row r="20" spans="1:18" ht="15" thickBot="1" x14ac:dyDescent="0.35">
      <c r="A20" s="212"/>
      <c r="G20" s="210"/>
      <c r="N20" s="314"/>
      <c r="O20" s="314"/>
      <c r="P20" s="314"/>
      <c r="Q20" s="61"/>
      <c r="R20" s="318"/>
    </row>
    <row r="21" spans="1:18" ht="15" thickBot="1" x14ac:dyDescent="0.35">
      <c r="A21" s="159" t="s">
        <v>245</v>
      </c>
      <c r="B21" s="971" t="s">
        <v>228</v>
      </c>
      <c r="C21" s="972"/>
      <c r="D21" s="163" t="s">
        <v>228</v>
      </c>
      <c r="E21" s="163" t="s">
        <v>228</v>
      </c>
      <c r="F21" s="303" t="s">
        <v>228</v>
      </c>
      <c r="G21" s="303" t="s">
        <v>228</v>
      </c>
      <c r="H21" s="303" t="s">
        <v>463</v>
      </c>
    </row>
    <row r="22" spans="1:18" x14ac:dyDescent="0.3">
      <c r="A22" s="160" t="s">
        <v>300</v>
      </c>
      <c r="B22" s="969"/>
      <c r="C22" s="970"/>
      <c r="D22" s="373"/>
      <c r="E22" s="373"/>
      <c r="F22" s="374"/>
      <c r="G22" s="375"/>
      <c r="H22" s="361">
        <f>IF('F0 - Données générales'!C3="horaire",0,SUM('F3 - Relevé du personnel'!BH4,'F3 - Relevé du personnel'!BH6,'F3 - Relevé du personnel'!BH29,'F3 - Relevé du personnel'!BH30,'F3 - Relevé du personnel'!BH31,'F3 - Relevé du personnel'!BH32))</f>
        <v>0</v>
      </c>
    </row>
    <row r="23" spans="1:18" x14ac:dyDescent="0.3">
      <c r="A23" s="161" t="s">
        <v>246</v>
      </c>
      <c r="B23" s="982"/>
      <c r="C23" s="983"/>
      <c r="D23" s="376"/>
      <c r="E23" s="376"/>
      <c r="F23" s="377"/>
      <c r="G23" s="378"/>
      <c r="H23" s="362">
        <f>IF('F0 - Données générales'!C3="horaire",0,SUM('F3 - Relevé du personnel'!BH7,'F3 - Relevé du personnel'!BH8,'F3 - Relevé du personnel'!BH28))</f>
        <v>0</v>
      </c>
    </row>
    <row r="24" spans="1:18" x14ac:dyDescent="0.3">
      <c r="A24" s="161" t="s">
        <v>247</v>
      </c>
      <c r="B24" s="982"/>
      <c r="C24" s="983"/>
      <c r="D24" s="376"/>
      <c r="E24" s="376"/>
      <c r="F24" s="377"/>
      <c r="G24" s="378"/>
      <c r="H24" s="362">
        <f>IF('F0 - Données générales'!C3="horaire",0,SUM('F3 - Relevé du personnel'!BH5,'F3 - Relevé du personnel'!BH9,'F3 - Relevé du personnel'!BH10,'F3 - Relevé du personnel'!BH11,'F3 - Relevé du personnel'!BH25,'F3 - Relevé du personnel'!BH27))</f>
        <v>0</v>
      </c>
    </row>
    <row r="25" spans="1:18" ht="15" thickBot="1" x14ac:dyDescent="0.35">
      <c r="A25" s="162" t="s">
        <v>248</v>
      </c>
      <c r="B25" s="984"/>
      <c r="C25" s="985"/>
      <c r="D25" s="379"/>
      <c r="E25" s="379"/>
      <c r="F25" s="380"/>
      <c r="G25" s="381"/>
      <c r="H25" s="363">
        <f>IF('F0 - Données générales'!C3="horaire",0,SUM('F3 - Relevé du personnel'!BH12,'F3 - Relevé du personnel'!BH14,'F3 - Relevé du personnel'!BH15,'F3 - Relevé du personnel'!BH16,'F3 - Relevé du personnel'!BH17,'F3 - Relevé du personnel'!BH18,'F3 - Relevé du personnel'!BH19,'F3 - Relevé du personnel'!BH21,'F3 - Relevé du personnel'!BH26,'F3 - Relevé du personnel'!BH24,'F3 - Relevé du personnel'!BH23))</f>
        <v>0</v>
      </c>
    </row>
    <row r="26" spans="1:18" ht="15" thickBot="1" x14ac:dyDescent="0.35">
      <c r="A26" s="159" t="s">
        <v>57</v>
      </c>
      <c r="B26" s="979"/>
      <c r="C26" s="980"/>
      <c r="D26" s="382"/>
      <c r="E26" s="382"/>
      <c r="F26" s="383"/>
      <c r="G26" s="384"/>
      <c r="H26" s="364">
        <f>SUM(H22:H25)</f>
        <v>0</v>
      </c>
    </row>
    <row r="27" spans="1:18" ht="15" thickBot="1" x14ac:dyDescent="0.35">
      <c r="B27" s="979"/>
      <c r="C27" s="980"/>
      <c r="D27" s="317" t="str">
        <f>IF(D16=0,"",IF(AND(D22&gt;=D10,SUM(D22,D23)&gt;=SUM(D10,D11),SUM(D22:D24)&gt;=SUM(D10:D12),D17="Respect volume ETP prévu par l'agrément"),"Respect de l'agrément","Non respect de l'agrément"))</f>
        <v/>
      </c>
      <c r="E27" s="317" t="str">
        <f>IF(E16=0,"",IF(AND(E22&gt;=E10,SUM(E22,E23)&gt;=SUM(E10,E11),SUM(E22:E24)&gt;=SUM(E10:E12),E17="Respect volume ETP prévu par l'agrément"),"Respect de l'agrément","Non respect de l'agrément"))</f>
        <v/>
      </c>
      <c r="F27" s="317" t="str">
        <f>IF(F16=0,"",IF(AND(F22&gt;=F10,SUM(F22,F23)&gt;=SUM(F10,F11),SUM(F22:F24)&gt;=SUM(F10:F12),F17="Respect volume ETP prévu par l'agrément"),"Respect de l'agrément","Non respect de l'agrément"))</f>
        <v/>
      </c>
      <c r="G27" s="988" t="s">
        <v>249</v>
      </c>
      <c r="H27" s="986" t="str">
        <f>IF(H16=0,"",IF(AND(H22&gt;=SUM(B10:G10),SUM(H22,H23)&gt;=SUM(B10:G11),SUM(H22:H24)&gt;=SUM(B10:G12),H17="Respect volume ETP prévu par l'agrément"),"Respect de l'agrément","Non respect de l'agrément"))</f>
        <v/>
      </c>
    </row>
    <row r="28" spans="1:18" ht="15" thickBot="1" x14ac:dyDescent="0.35">
      <c r="A28" s="304"/>
      <c r="B28" s="304"/>
      <c r="C28" s="304"/>
      <c r="D28" s="304"/>
      <c r="E28" s="304"/>
      <c r="F28" s="304"/>
      <c r="G28" s="989"/>
      <c r="H28" s="987"/>
    </row>
    <row r="29" spans="1:18" x14ac:dyDescent="0.3">
      <c r="A29" s="304"/>
      <c r="B29" s="304"/>
      <c r="C29" s="304"/>
      <c r="D29" s="304"/>
      <c r="E29" s="304"/>
      <c r="F29" s="304"/>
      <c r="G29" s="304"/>
      <c r="H29" s="304"/>
      <c r="J29" s="63"/>
    </row>
    <row r="30" spans="1:18" x14ac:dyDescent="0.3">
      <c r="A30" s="304"/>
      <c r="B30" s="304"/>
      <c r="C30" s="304"/>
      <c r="D30" s="304"/>
      <c r="E30" s="304"/>
      <c r="F30" s="304"/>
      <c r="G30" s="304"/>
      <c r="H30" s="304"/>
      <c r="I30" s="295"/>
      <c r="J30" s="304"/>
    </row>
    <row r="31" spans="1:18" x14ac:dyDescent="0.3">
      <c r="A31" s="304"/>
      <c r="B31" s="304"/>
      <c r="C31" s="304"/>
      <c r="D31" s="304"/>
      <c r="E31" s="304"/>
      <c r="F31" s="304"/>
      <c r="G31" s="304"/>
      <c r="H31" s="304"/>
    </row>
    <row r="32" spans="1:18" x14ac:dyDescent="0.3">
      <c r="B32" s="63"/>
      <c r="C32" s="63"/>
      <c r="D32" s="63"/>
      <c r="E32" s="63"/>
      <c r="G32" s="304"/>
      <c r="H32" s="304"/>
    </row>
    <row r="33" spans="1:10" x14ac:dyDescent="0.3">
      <c r="B33" s="63"/>
      <c r="C33" s="63"/>
      <c r="D33" s="63"/>
      <c r="E33" s="63"/>
      <c r="F33" s="304"/>
      <c r="G33" s="304"/>
      <c r="H33" s="295"/>
    </row>
    <row r="34" spans="1:10" x14ac:dyDescent="0.3">
      <c r="B34" s="63"/>
      <c r="C34" s="63"/>
      <c r="D34" s="63"/>
      <c r="E34" s="63"/>
      <c r="G34" s="304"/>
      <c r="H34" s="295"/>
    </row>
    <row r="35" spans="1:10" x14ac:dyDescent="0.3">
      <c r="B35" s="63"/>
      <c r="C35" s="63"/>
      <c r="D35" s="63"/>
      <c r="E35" s="63"/>
      <c r="F35" s="304"/>
      <c r="G35" s="304"/>
      <c r="H35" s="295"/>
      <c r="I35" s="63"/>
    </row>
    <row r="36" spans="1:10" x14ac:dyDescent="0.3">
      <c r="C36" s="304"/>
      <c r="F36" s="304"/>
      <c r="G36" s="304"/>
      <c r="H36" s="295"/>
    </row>
    <row r="37" spans="1:10" x14ac:dyDescent="0.3">
      <c r="G37" s="304"/>
      <c r="H37" s="295"/>
    </row>
    <row r="38" spans="1:10" x14ac:dyDescent="0.3">
      <c r="G38" s="304"/>
      <c r="H38" s="295"/>
    </row>
    <row r="39" spans="1:10" x14ac:dyDescent="0.3">
      <c r="H39" s="295"/>
    </row>
    <row r="40" spans="1:10" x14ac:dyDescent="0.3">
      <c r="D40" s="981"/>
      <c r="E40" s="981"/>
      <c r="F40" s="981"/>
      <c r="G40" s="981"/>
      <c r="H40" s="295"/>
      <c r="I40" s="981"/>
      <c r="J40" s="981"/>
    </row>
    <row r="41" spans="1:10" x14ac:dyDescent="0.3">
      <c r="B41" s="304"/>
      <c r="C41" s="63"/>
      <c r="D41" s="304"/>
      <c r="E41" s="63"/>
      <c r="F41" s="304"/>
      <c r="G41" s="63"/>
      <c r="H41" s="295"/>
      <c r="I41" s="304"/>
      <c r="J41" s="63"/>
    </row>
    <row r="42" spans="1:10" x14ac:dyDescent="0.3">
      <c r="B42" s="304"/>
      <c r="C42" s="305"/>
      <c r="D42" s="304"/>
      <c r="E42" s="63"/>
      <c r="F42" s="304"/>
      <c r="G42" s="63"/>
      <c r="H42" s="295"/>
      <c r="I42" s="304"/>
      <c r="J42" s="63"/>
    </row>
    <row r="43" spans="1:10" x14ac:dyDescent="0.3">
      <c r="B43" s="304"/>
      <c r="C43" s="305"/>
      <c r="D43" s="304"/>
      <c r="E43" s="305"/>
      <c r="F43" s="304"/>
      <c r="G43" s="305"/>
      <c r="H43" s="295"/>
      <c r="I43" s="304"/>
      <c r="J43" s="305"/>
    </row>
    <row r="44" spans="1:10" x14ac:dyDescent="0.3">
      <c r="B44" s="304"/>
      <c r="C44" s="63"/>
      <c r="D44" s="304"/>
      <c r="E44" s="63"/>
      <c r="F44" s="304"/>
      <c r="G44" s="63"/>
      <c r="H44" s="295"/>
      <c r="I44" s="304"/>
      <c r="J44" s="63"/>
    </row>
    <row r="45" spans="1:10" x14ac:dyDescent="0.3">
      <c r="B45" s="304"/>
      <c r="C45" s="63"/>
      <c r="D45" s="304"/>
      <c r="E45" s="63"/>
      <c r="F45" s="304"/>
      <c r="G45" s="63"/>
      <c r="H45" s="295"/>
      <c r="I45" s="304"/>
      <c r="J45" s="63"/>
    </row>
    <row r="46" spans="1:10" x14ac:dyDescent="0.3">
      <c r="C46" s="63"/>
      <c r="E46" s="63"/>
      <c r="G46" s="63"/>
      <c r="H46" s="295"/>
      <c r="J46" s="63"/>
    </row>
    <row r="47" spans="1:10" x14ac:dyDescent="0.3">
      <c r="A47" s="61"/>
      <c r="H47" s="295"/>
    </row>
    <row r="48" spans="1:10" x14ac:dyDescent="0.3">
      <c r="B48" s="178"/>
      <c r="D48" s="178"/>
      <c r="F48" s="178"/>
      <c r="H48" s="295"/>
    </row>
    <row r="49" spans="3:13" x14ac:dyDescent="0.3">
      <c r="C49" s="360"/>
      <c r="D49" s="360"/>
      <c r="E49" s="360"/>
      <c r="F49" s="360"/>
      <c r="G49" s="360"/>
      <c r="H49" s="360"/>
    </row>
    <row r="50" spans="3:13" x14ac:dyDescent="0.3">
      <c r="C50" s="63"/>
      <c r="D50" s="63"/>
      <c r="E50" s="63"/>
      <c r="F50" s="63"/>
      <c r="G50" s="63"/>
      <c r="H50" s="63"/>
    </row>
    <row r="51" spans="3:13" x14ac:dyDescent="0.3">
      <c r="C51" s="63"/>
      <c r="D51" s="63"/>
      <c r="E51" s="63"/>
      <c r="F51" s="63"/>
      <c r="G51" s="63"/>
      <c r="H51" s="63"/>
    </row>
    <row r="52" spans="3:13" x14ac:dyDescent="0.3">
      <c r="C52" s="360"/>
      <c r="D52" s="360"/>
      <c r="E52" s="360"/>
      <c r="F52" s="360"/>
      <c r="G52" s="360"/>
      <c r="H52" s="360"/>
      <c r="I52" s="360"/>
      <c r="J52" s="360"/>
      <c r="K52" s="360"/>
      <c r="L52" s="360"/>
      <c r="M52" s="360"/>
    </row>
    <row r="53" spans="3:13" x14ac:dyDescent="0.3">
      <c r="C53" s="63"/>
    </row>
    <row r="72" spans="1:1" x14ac:dyDescent="0.3">
      <c r="A72" s="61"/>
    </row>
  </sheetData>
  <mergeCells count="27">
    <mergeCell ref="J5:L5"/>
    <mergeCell ref="J6:L6"/>
    <mergeCell ref="J7:L7"/>
    <mergeCell ref="J8:L8"/>
    <mergeCell ref="D17:D18"/>
    <mergeCell ref="E17:E18"/>
    <mergeCell ref="F17:F18"/>
    <mergeCell ref="G17:G18"/>
    <mergeCell ref="H17:H18"/>
    <mergeCell ref="B27:C27"/>
    <mergeCell ref="D40:E40"/>
    <mergeCell ref="F40:G40"/>
    <mergeCell ref="I40:J40"/>
    <mergeCell ref="B23:C23"/>
    <mergeCell ref="B24:C24"/>
    <mergeCell ref="B25:C25"/>
    <mergeCell ref="B26:C26"/>
    <mergeCell ref="H27:H28"/>
    <mergeCell ref="G27:G28"/>
    <mergeCell ref="B17:C18"/>
    <mergeCell ref="B22:C22"/>
    <mergeCell ref="B21:C21"/>
    <mergeCell ref="A15:A18"/>
    <mergeCell ref="J9:L9"/>
    <mergeCell ref="J10:L10"/>
    <mergeCell ref="B15:C15"/>
    <mergeCell ref="B16:C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F270-0FB5-487C-AAAA-3205C3F47DB0}">
  <sheetPr>
    <tabColor theme="5" tint="0.59999389629810485"/>
    <pageSetUpPr fitToPage="1"/>
  </sheetPr>
  <dimension ref="A1:N1110"/>
  <sheetViews>
    <sheetView zoomScale="89" zoomScaleNormal="89" workbookViewId="0">
      <selection activeCell="C11" sqref="C11"/>
    </sheetView>
  </sheetViews>
  <sheetFormatPr defaultColWidth="11.5546875" defaultRowHeight="14.4" x14ac:dyDescent="0.3"/>
  <cols>
    <col min="1" max="1" width="11.5546875" customWidth="1"/>
    <col min="2" max="2" width="54.5546875" customWidth="1"/>
    <col min="3" max="3" width="29.109375" customWidth="1"/>
    <col min="4" max="4" width="29.33203125" customWidth="1"/>
    <col min="5" max="7" width="29.109375" customWidth="1"/>
    <col min="8" max="8" width="26.33203125" customWidth="1"/>
    <col min="9" max="9" width="18.109375" customWidth="1"/>
    <col min="10" max="10" width="11.88671875" customWidth="1"/>
    <col min="11" max="11" width="11.5546875" customWidth="1"/>
    <col min="12" max="14" width="29.33203125" hidden="1" customWidth="1"/>
    <col min="15" max="16" width="29.33203125" customWidth="1"/>
    <col min="17" max="21" width="22.5546875" customWidth="1"/>
    <col min="23" max="24" width="14.6640625" customWidth="1"/>
    <col min="25" max="26" width="12.6640625" customWidth="1"/>
  </cols>
  <sheetData>
    <row r="1" spans="1:14" ht="87" customHeight="1" x14ac:dyDescent="0.3">
      <c r="B1" s="1029" t="s">
        <v>665</v>
      </c>
      <c r="C1" s="1029"/>
      <c r="D1" s="1029"/>
    </row>
    <row r="2" spans="1:14" x14ac:dyDescent="0.3">
      <c r="B2" s="304"/>
      <c r="C2" s="304"/>
      <c r="D2" s="304"/>
      <c r="E2" s="304"/>
      <c r="F2" s="304"/>
      <c r="G2" s="304"/>
      <c r="H2" s="304"/>
      <c r="I2" s="304"/>
      <c r="K2" s="63"/>
    </row>
    <row r="3" spans="1:14" ht="18" x14ac:dyDescent="0.35">
      <c r="A3" t="str">
        <f>IF(SUM('F2 - Données facturation'!$I$5:$I$19)=0,"Hide","")</f>
        <v>Hide</v>
      </c>
      <c r="B3" s="486">
        <f>'F0 - Données générales'!C2</f>
        <v>0</v>
      </c>
      <c r="C3" s="486">
        <f>'F0 - Données générales'!C4</f>
        <v>7</v>
      </c>
      <c r="D3" s="485"/>
      <c r="E3" s="485"/>
      <c r="F3" s="485"/>
      <c r="G3" s="485"/>
      <c r="H3" s="485"/>
      <c r="I3" s="485"/>
      <c r="J3" s="295"/>
      <c r="K3" s="304"/>
    </row>
    <row r="4" spans="1:14" x14ac:dyDescent="0.3">
      <c r="A4" t="str">
        <f>IF(SUM('F2 - Données facturation'!$I$5:$I$19)=0,"Hide","")</f>
        <v>Hide</v>
      </c>
      <c r="B4" s="451"/>
      <c r="C4" s="451"/>
      <c r="D4" s="451"/>
      <c r="E4" s="451"/>
      <c r="F4" s="451"/>
      <c r="G4" s="451"/>
      <c r="H4" s="451"/>
      <c r="I4" s="451"/>
    </row>
    <row r="5" spans="1:14" x14ac:dyDescent="0.3">
      <c r="A5" t="str">
        <f>IF(SUM('F2 - Données facturation'!$I$5:$I$19)=0,"Hide","")</f>
        <v>Hide</v>
      </c>
      <c r="B5" s="451" t="str">
        <f>IF(C3="9.1","Universitaire","")</f>
        <v/>
      </c>
      <c r="C5" s="451" t="str">
        <f>IF(C3="9.1",'F3 - Relevé du personnel'!BG6+'F3 - Relevé du personnel'!BG14+'F3 - Relevé du personnel'!BG32,"0")</f>
        <v>0</v>
      </c>
      <c r="D5" s="451"/>
      <c r="E5" s="451"/>
      <c r="F5" s="451"/>
      <c r="G5" s="451"/>
      <c r="H5" s="451"/>
      <c r="I5" s="493"/>
    </row>
    <row r="6" spans="1:14" x14ac:dyDescent="0.3">
      <c r="A6" t="str">
        <f>IF(SUM('F2 - Données facturation'!$I$5:$I$19)=0,"Hide","")</f>
        <v>Hide</v>
      </c>
      <c r="B6" s="451" t="str">
        <f>IF(C3="9.1","Bac+ (sans univesitaire)","Bac+")</f>
        <v>Bac+</v>
      </c>
      <c r="C6" s="502">
        <f>'F3 - Relevé du personnel'!BG4+'F3 - Relevé du personnel'!BG6+'F3 - Relevé du personnel'!BG14+'F3 - Relevé du personnel'!BG29+'F3 - Relevé du personnel'!BG30+'F3 - Relevé du personnel'!BG31+'F3 - Relevé du personnel'!BG32 - 'Test de plausibilité - MENJE'!C5</f>
        <v>0</v>
      </c>
      <c r="D6" s="451"/>
      <c r="E6" s="451"/>
      <c r="F6" s="451"/>
      <c r="G6" s="469"/>
      <c r="H6" s="451"/>
      <c r="I6" s="451"/>
    </row>
    <row r="7" spans="1:14" x14ac:dyDescent="0.3">
      <c r="A7" t="str">
        <f>IF(SUM('F2 - Données facturation'!$I$5:$I$19)=0,"Hide","")</f>
        <v>Hide</v>
      </c>
      <c r="B7" s="451" t="s">
        <v>664</v>
      </c>
      <c r="C7" s="502">
        <f>'F3 - Relevé du personnel'!BG7+'F3 - Relevé du personnel'!BG8+'F3 - Relevé du personnel'!BG15+'F3 - Relevé du personnel'!BG28</f>
        <v>0</v>
      </c>
      <c r="D7" s="451"/>
      <c r="E7" s="451"/>
      <c r="F7" s="451"/>
      <c r="G7" s="451"/>
      <c r="H7" s="451"/>
      <c r="I7" s="451"/>
    </row>
    <row r="8" spans="1:14" x14ac:dyDescent="0.3">
      <c r="A8" t="str">
        <f>IF(SUM('F2 - Données facturation'!$I$5:$I$19)=0,"Hide","")</f>
        <v>Hide</v>
      </c>
      <c r="B8" s="451" t="s">
        <v>663</v>
      </c>
      <c r="C8" s="502">
        <f>'F3 - Relevé du personnel'!BG5+'F3 - Relevé du personnel'!BG9+'F3 - Relevé du personnel'!BG10+'F3 - Relevé du personnel'!BG11+'F3 - Relevé du personnel'!BG16+'F3 - Relevé du personnel'!BG25+'F3 - Relevé du personnel'!BG27</f>
        <v>0</v>
      </c>
      <c r="D8" s="451"/>
      <c r="E8" s="451"/>
      <c r="F8" s="451"/>
      <c r="G8" s="451"/>
      <c r="H8" s="451"/>
      <c r="I8" s="451"/>
      <c r="J8" s="63"/>
    </row>
    <row r="9" spans="1:14" x14ac:dyDescent="0.3">
      <c r="A9" t="str">
        <f>IF(SUM('F2 - Données facturation'!$I$5:$I$19)=0,"Hide","")</f>
        <v>Hide</v>
      </c>
      <c r="B9" s="451" t="s">
        <v>662</v>
      </c>
      <c r="C9" s="502">
        <f>'F3 - Relevé du personnel'!BG12+'F3 - Relevé du personnel'!BG17+'F3 - Relevé du personnel'!BG18+'F3 - Relevé du personnel'!BG19+'F3 - Relevé du personnel'!BG21+'F3 - Relevé du personnel'!BG23+'F3 - Relevé du personnel'!BG24+'F3 - Relevé du personnel'!BG26</f>
        <v>0</v>
      </c>
      <c r="D9" s="451"/>
      <c r="E9" s="469"/>
      <c r="F9" s="469" t="s">
        <v>201</v>
      </c>
      <c r="G9" s="490">
        <f>'F3 - Formations et absences enc'!D53</f>
        <v>1579.8699999999997</v>
      </c>
      <c r="H9" s="451"/>
      <c r="I9" s="451"/>
    </row>
    <row r="10" spans="1:14" x14ac:dyDescent="0.3">
      <c r="A10" t="str">
        <f>IF(SUM('F2 - Données facturation'!$I$5:$I$19)=0,"Hide","")</f>
        <v>Hide</v>
      </c>
      <c r="B10" s="501" t="s">
        <v>94</v>
      </c>
      <c r="C10" s="500">
        <f>SUM(C5:C9)</f>
        <v>0</v>
      </c>
      <c r="D10" s="451"/>
      <c r="E10" s="451"/>
      <c r="F10" s="261"/>
      <c r="G10" s="261" t="s">
        <v>588</v>
      </c>
      <c r="H10" s="261" t="s">
        <v>651</v>
      </c>
      <c r="I10" s="261" t="s">
        <v>57</v>
      </c>
      <c r="M10" s="499" t="s">
        <v>17</v>
      </c>
      <c r="N10" s="496">
        <v>0.6</v>
      </c>
    </row>
    <row r="11" spans="1:14" x14ac:dyDescent="0.3">
      <c r="A11" t="str">
        <f>IF(SUM('F2 - Données facturation'!$I$5:$I$19)=0,"Hide","")</f>
        <v>Hide</v>
      </c>
      <c r="B11" s="451"/>
      <c r="C11" s="451"/>
      <c r="D11" s="451"/>
      <c r="E11" s="451"/>
      <c r="F11" s="261" t="s">
        <v>650</v>
      </c>
      <c r="G11" s="492">
        <f>G38+G64+G91+G119+G146</f>
        <v>0</v>
      </c>
      <c r="H11" s="492">
        <f>H38+H64+H91+H119+H146</f>
        <v>0</v>
      </c>
      <c r="I11" s="491">
        <f>G11+H11</f>
        <v>0</v>
      </c>
      <c r="M11" s="499" t="s">
        <v>19</v>
      </c>
      <c r="N11" s="496">
        <v>0.6</v>
      </c>
    </row>
    <row r="12" spans="1:14" x14ac:dyDescent="0.3">
      <c r="A12" t="str">
        <f>IF(SUM('F2 - Données facturation'!$I$5:$I$19)=0,"Hide","")</f>
        <v>Hide</v>
      </c>
      <c r="B12" s="451"/>
      <c r="C12" s="451"/>
      <c r="D12" s="451"/>
      <c r="E12" s="451"/>
      <c r="F12" s="451" t="s">
        <v>196</v>
      </c>
      <c r="G12" s="451" t="e">
        <f>I11/C10/G9</f>
        <v>#DIV/0!</v>
      </c>
      <c r="H12" s="451"/>
      <c r="I12" s="451"/>
      <c r="M12" s="499" t="s">
        <v>21</v>
      </c>
      <c r="N12" s="496">
        <v>0.7</v>
      </c>
    </row>
    <row r="13" spans="1:14" x14ac:dyDescent="0.3">
      <c r="A13" t="str">
        <f>IF(SUM('F2 - Données facturation'!$I$5:$I$19)=0,"Hide","")</f>
        <v>Hide</v>
      </c>
      <c r="B13" s="451"/>
      <c r="C13" s="451"/>
      <c r="D13" s="451"/>
      <c r="E13" s="451"/>
      <c r="F13" s="451"/>
      <c r="G13" s="451"/>
      <c r="H13" s="451"/>
      <c r="I13" s="451"/>
      <c r="M13" s="498" t="s">
        <v>23</v>
      </c>
      <c r="N13" s="496">
        <v>1</v>
      </c>
    </row>
    <row r="14" spans="1:14" x14ac:dyDescent="0.3">
      <c r="A14" t="str">
        <f>IF(SUM('F2 - Données facturation'!$I$5:$I$19)=0,"Hide","")</f>
        <v>Hide</v>
      </c>
      <c r="B14" s="451"/>
      <c r="C14" s="451"/>
      <c r="D14" s="451"/>
      <c r="E14" s="451"/>
      <c r="F14" s="451" t="str">
        <f>IF(C3="9,1","%Universitaire","% bachelor et plus")</f>
        <v>% bachelor et plus</v>
      </c>
      <c r="G14" s="451" t="e">
        <f>IF(C3="9.1",C5/C10,C6/C10)</f>
        <v>#DIV/0!</v>
      </c>
      <c r="H14" s="497" t="e">
        <f>IF(G14&gt;=G15,"test de plausibilité réussi","test de plausibilité pas réussi")</f>
        <v>#DIV/0!</v>
      </c>
      <c r="I14" s="451"/>
      <c r="M14">
        <v>11</v>
      </c>
      <c r="N14" s="496">
        <v>1</v>
      </c>
    </row>
    <row r="15" spans="1:14" x14ac:dyDescent="0.3">
      <c r="A15" t="str">
        <f>IF(SUM('F2 - Données facturation'!$I$5:$I$19)=0,"Hide","")</f>
        <v>Hide</v>
      </c>
      <c r="B15" s="451"/>
      <c r="C15" s="451"/>
      <c r="D15" s="451"/>
      <c r="E15" s="451"/>
      <c r="F15" s="451" t="s">
        <v>661</v>
      </c>
      <c r="G15" s="495" t="e">
        <f>VLOOKUP(C3,M10:N14,2,FALSE)</f>
        <v>#N/A</v>
      </c>
      <c r="H15" s="451"/>
      <c r="I15" s="451"/>
      <c r="J15" s="304"/>
      <c r="K15" s="63"/>
    </row>
    <row r="16" spans="1:14" x14ac:dyDescent="0.3">
      <c r="A16" t="str">
        <f>IF(SUM('F2 - Données facturation'!$I$5:$I$19)=0,"Hide","")</f>
        <v>Hide</v>
      </c>
      <c r="B16" s="451"/>
      <c r="C16" s="451"/>
      <c r="D16" s="451"/>
      <c r="E16" s="451"/>
      <c r="F16" s="451"/>
      <c r="G16" s="451"/>
      <c r="H16" s="451"/>
      <c r="I16" s="451"/>
      <c r="J16" s="304"/>
      <c r="K16" s="305"/>
    </row>
    <row r="17" spans="1:14" x14ac:dyDescent="0.3">
      <c r="A17" t="str">
        <f>IF(SUM('F2 - Données facturation'!$I$5:$I$19)=0,"Hide","")</f>
        <v>Hide</v>
      </c>
      <c r="B17" s="451"/>
      <c r="C17" s="451"/>
      <c r="D17" s="451"/>
      <c r="E17" s="451"/>
      <c r="I17" s="451"/>
      <c r="J17" s="304"/>
      <c r="K17" s="63"/>
    </row>
    <row r="18" spans="1:14" x14ac:dyDescent="0.3">
      <c r="A18" t="str">
        <f>IF(SUM('F2 - Données facturation'!$I$5:$I$19)=0,"Hide","")</f>
        <v>Hide</v>
      </c>
      <c r="B18" s="451"/>
      <c r="C18" s="451"/>
      <c r="D18" s="451"/>
      <c r="E18" s="451"/>
      <c r="F18" s="451"/>
      <c r="G18" s="451"/>
      <c r="H18" s="451"/>
      <c r="I18" s="451"/>
      <c r="J18" s="304"/>
      <c r="K18" s="63"/>
    </row>
    <row r="19" spans="1:14" x14ac:dyDescent="0.3">
      <c r="A19" t="str">
        <f>IF(SUM('F2 - Données facturation'!$I$5:$I$19)=0,"Hide","")</f>
        <v>Hide</v>
      </c>
      <c r="B19" s="451"/>
      <c r="C19" s="451"/>
      <c r="D19" s="451"/>
      <c r="E19" s="451"/>
      <c r="F19" s="451"/>
      <c r="G19" s="451"/>
      <c r="H19" s="451"/>
      <c r="I19" s="451"/>
      <c r="K19" s="63"/>
    </row>
    <row r="20" spans="1:14" x14ac:dyDescent="0.3">
      <c r="A20" t="str">
        <f>IF(SUM('F2 - Données facturation'!$I$5:$I$19)=0,"Hide","")</f>
        <v>Hide</v>
      </c>
      <c r="B20" s="451"/>
      <c r="C20" s="451"/>
      <c r="D20" s="451"/>
      <c r="E20" s="451"/>
      <c r="F20" s="451"/>
      <c r="G20" s="451"/>
      <c r="H20" s="451"/>
      <c r="I20" s="451"/>
    </row>
    <row r="21" spans="1:14" x14ac:dyDescent="0.3">
      <c r="A21" t="str">
        <f>IF(SUM('F2 - Données facturation'!$I$5:$I$19)=0,"Hide","")</f>
        <v>Hide</v>
      </c>
      <c r="B21" s="451"/>
      <c r="C21" s="451" t="s">
        <v>487</v>
      </c>
      <c r="D21" s="451"/>
      <c r="E21" s="451"/>
      <c r="F21" s="434" t="s">
        <v>486</v>
      </c>
      <c r="G21" s="481">
        <f>'F0 - Données générales'!C2</f>
        <v>0</v>
      </c>
      <c r="H21" s="451"/>
      <c r="I21" s="451"/>
    </row>
    <row r="22" spans="1:14" x14ac:dyDescent="0.3">
      <c r="A22" t="str">
        <f>IF(SUM('F2 - Données facturation'!$I$5:$I$19)=0,"Hide","")</f>
        <v>Hide</v>
      </c>
      <c r="B22" s="451"/>
      <c r="C22" s="451" t="s">
        <v>660</v>
      </c>
      <c r="D22" s="451"/>
      <c r="E22" s="451"/>
      <c r="F22" s="451"/>
      <c r="G22" s="451"/>
      <c r="H22" s="451"/>
      <c r="I22" s="451"/>
    </row>
    <row r="23" spans="1:14" x14ac:dyDescent="0.3">
      <c r="A23" t="str">
        <f>IF(SUM('F2 - Données facturation'!$I$5:$I$19)=0,"Hide","")</f>
        <v>Hide</v>
      </c>
      <c r="B23" s="451"/>
      <c r="C23" s="451"/>
      <c r="D23" s="451"/>
      <c r="E23" s="451"/>
      <c r="F23" s="451"/>
      <c r="G23" s="451"/>
      <c r="H23" s="451"/>
      <c r="I23" s="451"/>
    </row>
    <row r="24" spans="1:14" x14ac:dyDescent="0.3">
      <c r="A24" t="str">
        <f>IF(SUM('F2 - Données facturation'!$I$5:$I$19)=0,"Hide","")</f>
        <v>Hide</v>
      </c>
      <c r="B24" s="451"/>
      <c r="C24" s="451"/>
      <c r="D24" s="451"/>
      <c r="E24" s="451"/>
      <c r="F24" s="451"/>
      <c r="G24" s="451"/>
      <c r="H24" s="451"/>
      <c r="I24" s="451"/>
    </row>
    <row r="25" spans="1:14" x14ac:dyDescent="0.3">
      <c r="A25" t="str">
        <f>IF(SUM('F2 - Données facturation'!$I$5:$I$19)=0,"Hide","")</f>
        <v>Hide</v>
      </c>
      <c r="B25" s="451"/>
      <c r="C25" s="451"/>
      <c r="D25" s="451"/>
      <c r="E25" s="451"/>
      <c r="F25" s="451"/>
      <c r="G25" s="451"/>
      <c r="H25" s="451"/>
      <c r="I25" s="451"/>
      <c r="J25" s="360"/>
      <c r="K25" s="360"/>
      <c r="L25" s="360"/>
      <c r="M25" s="360"/>
      <c r="N25" s="360"/>
    </row>
    <row r="26" spans="1:14" x14ac:dyDescent="0.3">
      <c r="A26" t="str">
        <f>IF(SUM('F2 - Données facturation'!$I$5:$I$19)=0,"Hide","")</f>
        <v>Hide</v>
      </c>
      <c r="B26" s="451"/>
      <c r="C26" s="451" t="s">
        <v>727</v>
      </c>
      <c r="D26" s="451"/>
      <c r="E26" s="451"/>
      <c r="F26" s="451"/>
      <c r="G26" s="451"/>
      <c r="H26" s="451"/>
      <c r="I26" s="451"/>
    </row>
    <row r="27" spans="1:14" x14ac:dyDescent="0.3">
      <c r="A27" t="str">
        <f>IF(SUM('F2 - Données facturation'!$I$5:$I$19)=0,"Hide","")</f>
        <v>Hide</v>
      </c>
      <c r="B27" s="451"/>
      <c r="C27" s="451" t="s">
        <v>728</v>
      </c>
      <c r="D27" s="451"/>
      <c r="E27" s="451"/>
      <c r="F27" s="451"/>
      <c r="G27" s="451"/>
      <c r="H27" s="451"/>
      <c r="I27" s="451"/>
    </row>
    <row r="28" spans="1:14" x14ac:dyDescent="0.3">
      <c r="A28" t="str">
        <f>IF(SUM('F2 - Données facturation'!$I$5:$I$19)=0,"Hide","")</f>
        <v>Hide</v>
      </c>
    </row>
    <row r="29" spans="1:14" x14ac:dyDescent="0.3">
      <c r="A29" t="str">
        <f>IF(SUM('F2 - Données facturation'!$I$5:$I$19)=0,"Hide","")</f>
        <v>Hide</v>
      </c>
      <c r="B29" s="304"/>
      <c r="C29" s="304"/>
      <c r="D29" s="304"/>
      <c r="E29" s="304"/>
      <c r="F29" s="304"/>
      <c r="G29" s="304"/>
      <c r="H29" s="494" t="s">
        <v>659</v>
      </c>
      <c r="I29" s="304" t="s">
        <v>658</v>
      </c>
      <c r="M29" t="s">
        <v>658</v>
      </c>
    </row>
    <row r="30" spans="1:14" ht="18" x14ac:dyDescent="0.35">
      <c r="A30" t="str">
        <f>IF('F2 - Données facturation'!$I$6=0,"Hide",IF($I$29="Oui","","Hide"))</f>
        <v>Hide</v>
      </c>
      <c r="B30" s="486">
        <f>'F0 - Données générales'!C2</f>
        <v>0</v>
      </c>
      <c r="C30" s="486" t="s">
        <v>657</v>
      </c>
      <c r="D30" s="485"/>
      <c r="E30" s="485"/>
      <c r="F30" s="485"/>
      <c r="G30" s="485"/>
      <c r="H30" s="485"/>
      <c r="I30" s="485"/>
      <c r="M30" t="s">
        <v>656</v>
      </c>
    </row>
    <row r="31" spans="1:14" x14ac:dyDescent="0.3">
      <c r="A31" t="str">
        <f>IF('F2 - Données facturation'!$I$6=0,"Hide",IF($I$29="Oui","","Hide"))</f>
        <v>Hide</v>
      </c>
      <c r="B31" s="451"/>
      <c r="C31" s="451"/>
      <c r="D31" s="451"/>
      <c r="E31" s="451"/>
      <c r="F31" s="451"/>
      <c r="G31" s="451"/>
      <c r="H31" s="451"/>
      <c r="I31" s="451"/>
    </row>
    <row r="32" spans="1:14" x14ac:dyDescent="0.3">
      <c r="A32" t="str">
        <f>IF('F2 - Données facturation'!$I$6=0,"Hide",IF($I$29="Oui","","Hide"))</f>
        <v>Hide</v>
      </c>
      <c r="E32" s="451"/>
      <c r="F32" s="451"/>
      <c r="G32" s="451"/>
      <c r="H32" s="451"/>
      <c r="I32" s="493"/>
    </row>
    <row r="33" spans="1:9" x14ac:dyDescent="0.3">
      <c r="A33" t="str">
        <f>IF('F2 - Données facturation'!$I$6=0,"Hide",IF($I$29="Oui","","Hide"))</f>
        <v>Hide</v>
      </c>
      <c r="E33" s="451"/>
      <c r="F33" s="451"/>
      <c r="G33" s="469"/>
      <c r="H33" s="451"/>
      <c r="I33" s="451"/>
    </row>
    <row r="34" spans="1:9" x14ac:dyDescent="0.3">
      <c r="A34" t="str">
        <f>IF('F2 - Données facturation'!$I$6=0,"Hide",IF($I$29="Oui","","Hide"))</f>
        <v>Hide</v>
      </c>
      <c r="E34" s="451"/>
      <c r="F34" s="451"/>
      <c r="G34" s="451"/>
      <c r="H34" s="451"/>
      <c r="I34" s="451"/>
    </row>
    <row r="35" spans="1:9" x14ac:dyDescent="0.3">
      <c r="A35" t="str">
        <f>IF('F2 - Données facturation'!$I$6=0,"Hide",IF($I$29="Oui","","Hide"))</f>
        <v>Hide</v>
      </c>
      <c r="E35" s="451"/>
      <c r="F35" s="451"/>
      <c r="G35" s="451"/>
      <c r="H35" s="451"/>
      <c r="I35" s="451"/>
    </row>
    <row r="36" spans="1:9" x14ac:dyDescent="0.3">
      <c r="A36" t="str">
        <f>IF('F2 - Données facturation'!$I$6=0,"Hide",IF($I$29="Oui","","Hide"))</f>
        <v>Hide</v>
      </c>
      <c r="E36" s="469"/>
      <c r="F36" s="469" t="s">
        <v>201</v>
      </c>
      <c r="G36" s="490">
        <f>'F3 - Formations et absences enc'!D53</f>
        <v>1579.8699999999997</v>
      </c>
      <c r="H36" s="451"/>
      <c r="I36" s="451"/>
    </row>
    <row r="37" spans="1:9" x14ac:dyDescent="0.3">
      <c r="A37" t="str">
        <f>IF('F2 - Données facturation'!$I$6=0,"Hide",IF($I$29="Oui","","Hide"))</f>
        <v>Hide</v>
      </c>
      <c r="E37" s="451"/>
      <c r="F37" s="261"/>
      <c r="G37" s="261" t="s">
        <v>588</v>
      </c>
      <c r="H37" s="261" t="s">
        <v>651</v>
      </c>
      <c r="I37" s="261" t="s">
        <v>57</v>
      </c>
    </row>
    <row r="38" spans="1:9" x14ac:dyDescent="0.3">
      <c r="A38" t="str">
        <f>IF('F2 - Données facturation'!$I$6=0,"Hide",IF($I$29="Oui","","Hide"))</f>
        <v>Hide</v>
      </c>
      <c r="E38" s="451"/>
      <c r="F38" s="261" t="s">
        <v>650</v>
      </c>
      <c r="G38" s="492">
        <f>'F2 - Données facturation'!G6</f>
        <v>0</v>
      </c>
      <c r="H38" s="492">
        <f>'F2 - Données facturation'!H6</f>
        <v>0</v>
      </c>
      <c r="I38" s="491">
        <f>G38+H38</f>
        <v>0</v>
      </c>
    </row>
    <row r="39" spans="1:9" x14ac:dyDescent="0.3">
      <c r="A39" t="str">
        <f>IF('F2 - Données facturation'!$I$6=0,"Hide",IF($I$29="Oui","","Hide"))</f>
        <v>Hide</v>
      </c>
      <c r="E39" s="451"/>
      <c r="F39" s="451" t="s">
        <v>196</v>
      </c>
      <c r="G39" s="451" t="e">
        <f>I38/C37/G36</f>
        <v>#DIV/0!</v>
      </c>
      <c r="H39" s="451"/>
      <c r="I39" s="451"/>
    </row>
    <row r="40" spans="1:9" x14ac:dyDescent="0.3">
      <c r="A40" t="str">
        <f>IF('F2 - Données facturation'!$I$6=0,"Hide",IF($I$29="Oui","","Hide"))</f>
        <v>Hide</v>
      </c>
      <c r="E40" s="451"/>
      <c r="F40" s="451"/>
      <c r="G40" s="451"/>
      <c r="H40" s="451"/>
      <c r="I40" s="451"/>
    </row>
    <row r="41" spans="1:9" x14ac:dyDescent="0.3">
      <c r="A41" t="str">
        <f>IF('F2 - Données facturation'!$I$6=0,"Hide",IF($I$29="Oui","","Hide"))</f>
        <v>Hide</v>
      </c>
      <c r="E41" s="451"/>
      <c r="I41" s="451"/>
    </row>
    <row r="42" spans="1:9" x14ac:dyDescent="0.3">
      <c r="A42" t="str">
        <f>IF('F2 - Données facturation'!$I$6=0,"Hide",IF($I$29="Oui","","Hide"))</f>
        <v>Hide</v>
      </c>
      <c r="E42" s="451"/>
      <c r="F42" s="451"/>
      <c r="G42" s="451"/>
      <c r="H42" s="451"/>
      <c r="I42" s="451"/>
    </row>
    <row r="43" spans="1:9" x14ac:dyDescent="0.3">
      <c r="A43" t="str">
        <f>IF('F2 - Données facturation'!$I$6=0,"Hide",IF($I$29="Oui","","Hide"))</f>
        <v>Hide</v>
      </c>
      <c r="E43" s="451"/>
      <c r="F43" s="451"/>
      <c r="G43" s="451"/>
      <c r="H43" s="451"/>
      <c r="I43" s="451"/>
    </row>
    <row r="44" spans="1:9" x14ac:dyDescent="0.3">
      <c r="A44" t="str">
        <f>IF('F2 - Données facturation'!$I$6=0,"Hide",IF($I$29="Oui","","Hide"))</f>
        <v>Hide</v>
      </c>
      <c r="E44" s="451"/>
      <c r="I44" s="451"/>
    </row>
    <row r="45" spans="1:9" x14ac:dyDescent="0.3">
      <c r="A45" t="str">
        <f>IF('F2 - Données facturation'!$I$6=0,"Hide",IF($I$29="Oui","","Hide"))</f>
        <v>Hide</v>
      </c>
      <c r="E45" s="451"/>
      <c r="F45" s="451"/>
      <c r="G45" s="451"/>
      <c r="H45" s="451"/>
      <c r="I45" s="451"/>
    </row>
    <row r="46" spans="1:9" x14ac:dyDescent="0.3">
      <c r="A46" t="str">
        <f>IF('F2 - Données facturation'!$I$6=0,"Hide",IF($I$29="Oui","","Hide"))</f>
        <v>Hide</v>
      </c>
      <c r="E46" s="451"/>
      <c r="F46" s="451"/>
      <c r="G46" s="451"/>
      <c r="H46" s="451"/>
      <c r="I46" s="451"/>
    </row>
    <row r="47" spans="1:9" x14ac:dyDescent="0.3">
      <c r="A47" t="str">
        <f>IF('F2 - Données facturation'!$I$6=0,"Hide",IF($I$29="Oui","","Hide"))</f>
        <v>Hide</v>
      </c>
      <c r="E47" s="451"/>
      <c r="F47" s="451"/>
      <c r="G47" s="451"/>
      <c r="H47" s="451"/>
      <c r="I47" s="451"/>
    </row>
    <row r="48" spans="1:9" x14ac:dyDescent="0.3">
      <c r="A48" t="str">
        <f>IF('F2 - Données facturation'!$I$6=0,"Hide",IF($I$29="Oui","","Hide"))</f>
        <v>Hide</v>
      </c>
      <c r="E48" s="451"/>
      <c r="F48" s="434"/>
      <c r="G48" s="481"/>
      <c r="H48" s="451"/>
      <c r="I48" s="451"/>
    </row>
    <row r="49" spans="1:9" x14ac:dyDescent="0.3">
      <c r="A49" t="str">
        <f>IF('F2 - Données facturation'!$I$6=0,"Hide",IF($I$29="Oui","","Hide"))</f>
        <v>Hide</v>
      </c>
      <c r="E49" s="451"/>
      <c r="F49" s="451"/>
      <c r="G49" s="451"/>
      <c r="H49" s="451"/>
      <c r="I49" s="451"/>
    </row>
    <row r="50" spans="1:9" x14ac:dyDescent="0.3">
      <c r="A50" t="str">
        <f>IF('F2 - Données facturation'!$I$6=0,"Hide",IF($I$29="Oui","","Hide"))</f>
        <v>Hide</v>
      </c>
      <c r="E50" s="451"/>
      <c r="F50" s="451"/>
      <c r="G50" s="451"/>
      <c r="H50" s="451"/>
      <c r="I50" s="451"/>
    </row>
    <row r="51" spans="1:9" x14ac:dyDescent="0.3">
      <c r="A51" t="str">
        <f>IF('F2 - Données facturation'!$I$6=0,"Hide",IF($I$29="Oui","","Hide"))</f>
        <v>Hide</v>
      </c>
      <c r="E51" s="451"/>
      <c r="F51" s="451"/>
      <c r="G51" s="451"/>
      <c r="H51" s="451"/>
      <c r="I51" s="451"/>
    </row>
    <row r="52" spans="1:9" x14ac:dyDescent="0.3">
      <c r="A52" t="str">
        <f>IF('F2 - Données facturation'!$I$6=0,"Hide",IF($I$29="Oui","","Hide"))</f>
        <v>Hide</v>
      </c>
      <c r="E52" s="451"/>
      <c r="F52" s="451"/>
      <c r="G52" s="451"/>
      <c r="H52" s="451"/>
      <c r="I52" s="451"/>
    </row>
    <row r="53" spans="1:9" x14ac:dyDescent="0.3">
      <c r="A53" t="str">
        <f>IF('F2 - Données facturation'!$I$6=0,"Hide",IF($I$29="Oui","","Hide"))</f>
        <v>Hide</v>
      </c>
      <c r="E53" s="451"/>
      <c r="F53" s="451"/>
      <c r="G53" s="451"/>
      <c r="H53" s="451"/>
      <c r="I53" s="451"/>
    </row>
    <row r="54" spans="1:9" x14ac:dyDescent="0.3">
      <c r="A54" t="str">
        <f>IF('F2 - Données facturation'!$I$6=0,"Hide",IF($I$29="Oui","","Hide"))</f>
        <v>Hide</v>
      </c>
      <c r="E54" s="451"/>
      <c r="F54" s="451"/>
      <c r="G54" s="451"/>
      <c r="H54" s="451"/>
      <c r="I54" s="451"/>
    </row>
    <row r="55" spans="1:9" x14ac:dyDescent="0.3">
      <c r="A55" t="str">
        <f>IF('F2 - Données facturation'!$I$6=0,"Hide",IF($I$29="Oui","","Hide"))</f>
        <v>Hide</v>
      </c>
    </row>
    <row r="56" spans="1:9" ht="18" x14ac:dyDescent="0.35">
      <c r="A56" t="str">
        <f>IF('F2 - Données facturation'!$I$7=0,"Hide",IF($I$29="Oui","","Hide"))</f>
        <v>Hide</v>
      </c>
      <c r="B56" s="486">
        <f>'F0 - Données générales'!C2</f>
        <v>0</v>
      </c>
      <c r="C56" s="486" t="s">
        <v>655</v>
      </c>
      <c r="D56" s="485"/>
      <c r="E56" s="485"/>
      <c r="F56" s="485"/>
      <c r="G56" s="485"/>
      <c r="H56" s="485"/>
      <c r="I56" s="485"/>
    </row>
    <row r="57" spans="1:9" x14ac:dyDescent="0.3">
      <c r="A57" t="str">
        <f>IF('F2 - Données facturation'!$I$7=0,"Hide",IF($I$29="Oui","","Hide"))</f>
        <v>Hide</v>
      </c>
      <c r="B57" s="432"/>
      <c r="C57" s="432"/>
      <c r="D57" s="314"/>
      <c r="E57" s="314"/>
      <c r="F57" s="314"/>
      <c r="G57" s="314"/>
      <c r="H57" s="314"/>
      <c r="I57" s="314"/>
    </row>
    <row r="58" spans="1:9" x14ac:dyDescent="0.3">
      <c r="A58" t="str">
        <f>IF('F2 - Données facturation'!$I$7=0,"Hide",IF($I$29="Oui","","Hide"))</f>
        <v>Hide</v>
      </c>
      <c r="B58" s="432"/>
      <c r="C58" s="432"/>
      <c r="D58" s="314"/>
      <c r="E58" s="314"/>
      <c r="F58" s="314"/>
      <c r="G58" s="314"/>
      <c r="H58" s="314"/>
      <c r="I58" s="488"/>
    </row>
    <row r="59" spans="1:9" x14ac:dyDescent="0.3">
      <c r="A59" t="str">
        <f>IF('F2 - Données facturation'!$I$7=0,"Hide",IF($I$29="Oui","","Hide"))</f>
        <v>Hide</v>
      </c>
      <c r="E59" s="314"/>
      <c r="F59" s="314"/>
      <c r="G59" s="253"/>
      <c r="H59" s="314"/>
      <c r="I59" s="314"/>
    </row>
    <row r="60" spans="1:9" x14ac:dyDescent="0.3">
      <c r="A60" t="str">
        <f>IF('F2 - Données facturation'!$I$7=0,"Hide",IF($I$29="Oui","","Hide"))</f>
        <v>Hide</v>
      </c>
      <c r="E60" s="314"/>
      <c r="F60" s="314"/>
      <c r="G60" s="314"/>
      <c r="H60" s="314"/>
      <c r="I60" s="314"/>
    </row>
    <row r="61" spans="1:9" x14ac:dyDescent="0.3">
      <c r="A61" t="str">
        <f>IF('F2 - Données facturation'!$I$7=0,"Hide",IF($I$29="Oui","","Hide"))</f>
        <v>Hide</v>
      </c>
      <c r="E61" s="314"/>
      <c r="F61" s="314"/>
      <c r="G61" s="314"/>
      <c r="H61" s="314"/>
      <c r="I61" s="314"/>
    </row>
    <row r="62" spans="1:9" x14ac:dyDescent="0.3">
      <c r="A62" t="str">
        <f>IF('F2 - Données facturation'!$I$7=0,"Hide",IF($I$29="Oui","","Hide"))</f>
        <v>Hide</v>
      </c>
      <c r="E62" s="253"/>
      <c r="F62" s="438" t="s">
        <v>201</v>
      </c>
      <c r="G62" s="490">
        <f>'F3 - Formations et absences enc'!D53</f>
        <v>1579.8699999999997</v>
      </c>
      <c r="H62" s="483"/>
      <c r="I62" s="483"/>
    </row>
    <row r="63" spans="1:9" x14ac:dyDescent="0.3">
      <c r="A63" t="str">
        <f>IF('F2 - Données facturation'!$I$7=0,"Hide",IF($I$29="Oui","","Hide"))</f>
        <v>Hide</v>
      </c>
      <c r="E63" s="314"/>
      <c r="F63" s="332"/>
      <c r="G63" s="482" t="s">
        <v>588</v>
      </c>
      <c r="H63" s="482" t="s">
        <v>651</v>
      </c>
      <c r="I63" s="482" t="s">
        <v>57</v>
      </c>
    </row>
    <row r="64" spans="1:9" x14ac:dyDescent="0.3">
      <c r="A64" t="str">
        <f>IF('F2 - Données facturation'!$I$7=0,"Hide",IF($I$29="Oui","","Hide"))</f>
        <v>Hide</v>
      </c>
      <c r="E64" s="314"/>
      <c r="F64" s="332" t="s">
        <v>650</v>
      </c>
      <c r="G64" s="482">
        <f>'F2 - Données facturation'!G7</f>
        <v>0</v>
      </c>
      <c r="H64" s="482">
        <f>'F2 - Données facturation'!H7</f>
        <v>0</v>
      </c>
      <c r="I64" s="482">
        <f>G64+H64</f>
        <v>0</v>
      </c>
    </row>
    <row r="65" spans="1:9" x14ac:dyDescent="0.3">
      <c r="A65" t="str">
        <f>IF('F2 - Données facturation'!$I$7=0,"Hide",IF($I$29="Oui","","Hide"))</f>
        <v>Hide</v>
      </c>
      <c r="E65" s="314"/>
      <c r="F65" s="432" t="s">
        <v>196</v>
      </c>
      <c r="G65" t="e">
        <f>I64/C63/G62</f>
        <v>#DIV/0!</v>
      </c>
      <c r="H65" s="314"/>
      <c r="I65" s="314"/>
    </row>
    <row r="66" spans="1:9" x14ac:dyDescent="0.3">
      <c r="A66" t="str">
        <f>IF('F2 - Données facturation'!$I$7=0,"Hide",IF($I$29="Oui","","Hide"))</f>
        <v>Hide</v>
      </c>
      <c r="E66" s="314"/>
      <c r="F66" s="314"/>
      <c r="H66" s="314"/>
      <c r="I66" s="314"/>
    </row>
    <row r="67" spans="1:9" x14ac:dyDescent="0.3">
      <c r="A67" t="str">
        <f>IF('F2 - Données facturation'!$I$7=0,"Hide",IF($I$29="Oui","","Hide"))</f>
        <v>Hide</v>
      </c>
      <c r="E67" s="314"/>
      <c r="I67" s="314"/>
    </row>
    <row r="68" spans="1:9" x14ac:dyDescent="0.3">
      <c r="A68" t="str">
        <f>IF('F2 - Données facturation'!$I$7=0,"Hide",IF($I$29="Oui","","Hide"))</f>
        <v>Hide</v>
      </c>
      <c r="E68" s="314"/>
      <c r="F68" s="314"/>
      <c r="G68" s="314"/>
      <c r="H68" s="314"/>
      <c r="I68" s="314"/>
    </row>
    <row r="69" spans="1:9" x14ac:dyDescent="0.3">
      <c r="A69" t="str">
        <f>IF('F2 - Données facturation'!$I$7=0,"Hide",IF($I$29="Oui","","Hide"))</f>
        <v>Hide</v>
      </c>
      <c r="E69" s="314"/>
      <c r="F69" s="314"/>
      <c r="G69" s="314"/>
      <c r="H69" s="314"/>
      <c r="I69" s="314"/>
    </row>
    <row r="70" spans="1:9" x14ac:dyDescent="0.3">
      <c r="A70" t="str">
        <f>IF('F2 - Données facturation'!$I$7=0,"Hide",IF($I$29="Oui","","Hide"))</f>
        <v>Hide</v>
      </c>
      <c r="E70" s="314"/>
      <c r="I70" s="314"/>
    </row>
    <row r="71" spans="1:9" x14ac:dyDescent="0.3">
      <c r="A71" t="str">
        <f>IF('F2 - Données facturation'!$I$7=0,"Hide",IF($I$29="Oui","","Hide"))</f>
        <v>Hide</v>
      </c>
      <c r="E71" s="314"/>
      <c r="F71" s="314"/>
      <c r="G71" s="314"/>
      <c r="H71" s="314"/>
      <c r="I71" s="314"/>
    </row>
    <row r="72" spans="1:9" x14ac:dyDescent="0.3">
      <c r="A72" t="str">
        <f>IF('F2 - Données facturation'!$I$7=0,"Hide",IF($I$29="Oui","","Hide"))</f>
        <v>Hide</v>
      </c>
      <c r="E72" s="314"/>
      <c r="F72" s="314"/>
      <c r="G72" s="314"/>
      <c r="H72" s="314"/>
      <c r="I72" s="314"/>
    </row>
    <row r="73" spans="1:9" x14ac:dyDescent="0.3">
      <c r="A73" t="str">
        <f>IF('F2 - Données facturation'!$I$7=0,"Hide",IF($I$29="Oui","","Hide"))</f>
        <v>Hide</v>
      </c>
      <c r="E73" s="314"/>
      <c r="F73" s="314"/>
      <c r="G73" s="314"/>
      <c r="H73" s="314"/>
      <c r="I73" s="314"/>
    </row>
    <row r="74" spans="1:9" x14ac:dyDescent="0.3">
      <c r="A74" t="str">
        <f>IF('F2 - Données facturation'!$I$7=0,"Hide",IF($I$29="Oui","","Hide"))</f>
        <v>Hide</v>
      </c>
      <c r="E74" s="314"/>
      <c r="F74" s="434"/>
      <c r="G74" s="481"/>
      <c r="H74" s="314"/>
      <c r="I74" s="314"/>
    </row>
    <row r="75" spans="1:9" x14ac:dyDescent="0.3">
      <c r="A75" t="str">
        <f>IF('F2 - Données facturation'!$I$7=0,"Hide",IF($I$29="Oui","","Hide"))</f>
        <v>Hide</v>
      </c>
      <c r="E75" s="314"/>
      <c r="F75" s="314"/>
      <c r="G75" s="314"/>
      <c r="H75" s="314"/>
      <c r="I75" s="314"/>
    </row>
    <row r="76" spans="1:9" x14ac:dyDescent="0.3">
      <c r="A76" t="str">
        <f>IF('F2 - Données facturation'!$I$7=0,"Hide",IF($I$29="Oui","","Hide"))</f>
        <v>Hide</v>
      </c>
      <c r="B76" s="314"/>
      <c r="C76" s="489"/>
      <c r="D76" s="489"/>
      <c r="E76" s="314"/>
      <c r="F76" s="314"/>
      <c r="G76" s="314"/>
      <c r="H76" s="314"/>
      <c r="I76" s="314"/>
    </row>
    <row r="77" spans="1:9" x14ac:dyDescent="0.3">
      <c r="A77" t="str">
        <f>IF('F2 - Données facturation'!$I$7=0,"Hide",IF($I$29="Oui","","Hide"))</f>
        <v>Hide</v>
      </c>
      <c r="B77" s="314"/>
      <c r="C77" s="489"/>
      <c r="D77" s="489"/>
      <c r="E77" s="314"/>
      <c r="F77" s="314"/>
      <c r="G77" s="314"/>
      <c r="H77" s="314"/>
      <c r="I77" s="314"/>
    </row>
    <row r="78" spans="1:9" x14ac:dyDescent="0.3">
      <c r="A78" t="str">
        <f>IF('F2 - Données facturation'!$I$7=0,"Hide",IF($I$29="Oui","","Hide"))</f>
        <v>Hide</v>
      </c>
      <c r="B78" s="314"/>
      <c r="C78" s="489"/>
      <c r="D78" s="489"/>
      <c r="E78" s="314"/>
      <c r="F78" s="314"/>
      <c r="G78" s="314"/>
      <c r="H78" s="314"/>
      <c r="I78" s="314"/>
    </row>
    <row r="79" spans="1:9" x14ac:dyDescent="0.3">
      <c r="A79" t="str">
        <f>IF('F2 - Données facturation'!$I$7=0,"Hide",IF($I$29="Oui","","Hide"))</f>
        <v>Hide</v>
      </c>
      <c r="D79" s="489"/>
      <c r="E79" s="314"/>
      <c r="F79" s="314"/>
      <c r="G79" s="314"/>
      <c r="H79" s="314"/>
      <c r="I79" s="314"/>
    </row>
    <row r="80" spans="1:9" x14ac:dyDescent="0.3">
      <c r="A80" t="str">
        <f>IF('F2 - Données facturation'!$I$7=0,"Hide",IF($I$29="Oui","","Hide"))</f>
        <v>Hide</v>
      </c>
      <c r="D80" s="489"/>
      <c r="E80" s="314"/>
      <c r="F80" s="314"/>
      <c r="G80" s="314"/>
      <c r="H80" s="314"/>
      <c r="I80" s="314"/>
    </row>
    <row r="81" spans="1:9" x14ac:dyDescent="0.3">
      <c r="A81" t="str">
        <f>IF('F2 - Données facturation'!$I$7=0,"Hide",IF($I$29="Oui","","Hide"))</f>
        <v>Hide</v>
      </c>
    </row>
    <row r="82" spans="1:9" x14ac:dyDescent="0.3">
      <c r="A82" t="str">
        <f>IF('F2 - Données facturation'!$I$7=0,"Hide",IF($I$29="Oui","","Hide"))</f>
        <v>Hide</v>
      </c>
    </row>
    <row r="83" spans="1:9" ht="18" x14ac:dyDescent="0.35">
      <c r="A83" t="str">
        <f>IF('F2 - Données facturation'!$I$8=0,"Hide",IF($I$29="Oui","","Hide"))</f>
        <v>Hide</v>
      </c>
      <c r="B83" s="486">
        <f>'F0 - Données générales'!C2</f>
        <v>0</v>
      </c>
      <c r="C83" s="486" t="s">
        <v>654</v>
      </c>
      <c r="D83" s="485"/>
      <c r="E83" s="485"/>
      <c r="F83" s="485"/>
      <c r="G83" s="485"/>
      <c r="H83" s="485"/>
      <c r="I83" s="485"/>
    </row>
    <row r="84" spans="1:9" x14ac:dyDescent="0.3">
      <c r="A84" t="str">
        <f>IF('F2 - Données facturation'!$I$8=0,"Hide",IF($I$29="Oui","","Hide"))</f>
        <v>Hide</v>
      </c>
      <c r="B84" s="432"/>
      <c r="C84" s="432"/>
      <c r="D84" s="432"/>
      <c r="E84" s="432"/>
      <c r="F84" s="314"/>
      <c r="G84" s="314"/>
      <c r="H84" s="314"/>
      <c r="I84" s="314"/>
    </row>
    <row r="85" spans="1:9" x14ac:dyDescent="0.3">
      <c r="A85" t="str">
        <f>IF('F2 - Données facturation'!$I$8=0,"Hide",IF($I$29="Oui","","Hide"))</f>
        <v>Hide</v>
      </c>
      <c r="B85" s="432"/>
      <c r="C85" s="432"/>
      <c r="D85" s="432"/>
      <c r="E85" s="432"/>
      <c r="F85" s="314"/>
      <c r="G85" s="314"/>
      <c r="H85" s="314"/>
      <c r="I85" s="488"/>
    </row>
    <row r="86" spans="1:9" x14ac:dyDescent="0.3">
      <c r="A86" t="str">
        <f>IF('F2 - Données facturation'!$I$8=0,"Hide",IF($I$29="Oui","","Hide"))</f>
        <v>Hide</v>
      </c>
      <c r="E86" s="432"/>
      <c r="F86" s="314"/>
      <c r="G86" s="253"/>
      <c r="H86" s="314"/>
      <c r="I86" s="314"/>
    </row>
    <row r="87" spans="1:9" x14ac:dyDescent="0.3">
      <c r="A87" t="str">
        <f>IF('F2 - Données facturation'!$I$8=0,"Hide",IF($I$29="Oui","","Hide"))</f>
        <v>Hide</v>
      </c>
      <c r="E87" s="432"/>
      <c r="F87" s="314"/>
      <c r="G87" s="314"/>
      <c r="H87" s="314"/>
      <c r="I87" s="314"/>
    </row>
    <row r="88" spans="1:9" x14ac:dyDescent="0.3">
      <c r="A88" t="str">
        <f>IF('F2 - Données facturation'!$I$8=0,"Hide",IF($I$29="Oui","","Hide"))</f>
        <v>Hide</v>
      </c>
      <c r="E88" s="432"/>
      <c r="F88" s="314"/>
      <c r="G88" s="314"/>
      <c r="H88" s="314"/>
      <c r="I88" s="314"/>
    </row>
    <row r="89" spans="1:9" x14ac:dyDescent="0.3">
      <c r="A89" t="str">
        <f>IF('F2 - Données facturation'!$I$8=0,"Hide",IF($I$29="Oui","","Hide"))</f>
        <v>Hide</v>
      </c>
      <c r="E89" s="438"/>
      <c r="F89" s="438" t="s">
        <v>201</v>
      </c>
      <c r="G89" s="487">
        <f>'F3 - Formations et absences enc'!D53</f>
        <v>1579.8699999999997</v>
      </c>
      <c r="H89" s="432"/>
      <c r="I89" s="432"/>
    </row>
    <row r="90" spans="1:9" x14ac:dyDescent="0.3">
      <c r="A90" t="str">
        <f>IF('F2 - Données facturation'!$I$8=0,"Hide",IF($I$29="Oui","","Hide"))</f>
        <v>Hide</v>
      </c>
      <c r="E90" s="432"/>
      <c r="F90" s="332"/>
      <c r="G90" s="332" t="s">
        <v>588</v>
      </c>
      <c r="H90" s="332" t="s">
        <v>651</v>
      </c>
      <c r="I90" s="332" t="s">
        <v>57</v>
      </c>
    </row>
    <row r="91" spans="1:9" x14ac:dyDescent="0.3">
      <c r="A91" t="str">
        <f>IF('F2 - Données facturation'!$I$8=0,"Hide",IF($I$29="Oui","","Hide"))</f>
        <v>Hide</v>
      </c>
      <c r="E91" s="432"/>
      <c r="F91" s="332" t="s">
        <v>650</v>
      </c>
      <c r="G91" s="444">
        <f>'F2 - Données facturation'!G8</f>
        <v>0</v>
      </c>
      <c r="H91" s="444">
        <f>'F2 - Données facturation'!H8</f>
        <v>0</v>
      </c>
      <c r="I91" s="482">
        <f>G91+H91</f>
        <v>0</v>
      </c>
    </row>
    <row r="92" spans="1:9" x14ac:dyDescent="0.3">
      <c r="A92" t="str">
        <f>IF('F2 - Données facturation'!$I$8=0,"Hide",IF($I$29="Oui","","Hide"))</f>
        <v>Hide</v>
      </c>
      <c r="E92" s="314"/>
      <c r="F92" s="432" t="s">
        <v>196</v>
      </c>
      <c r="G92" s="432" t="e">
        <f>I91/C90/G89</f>
        <v>#DIV/0!</v>
      </c>
      <c r="H92" s="432"/>
      <c r="I92" s="432"/>
    </row>
    <row r="93" spans="1:9" x14ac:dyDescent="0.3">
      <c r="A93" t="str">
        <f>IF('F2 - Données facturation'!$I$8=0,"Hide",IF($I$29="Oui","","Hide"))</f>
        <v>Hide</v>
      </c>
      <c r="E93" s="314"/>
      <c r="F93" s="432"/>
      <c r="G93" s="432"/>
      <c r="H93" s="432"/>
      <c r="I93" s="432"/>
    </row>
    <row r="94" spans="1:9" x14ac:dyDescent="0.3">
      <c r="A94" t="str">
        <f>IF('F2 - Données facturation'!$I$8=0,"Hide",IF($I$29="Oui","","Hide"))</f>
        <v>Hide</v>
      </c>
      <c r="E94" s="314"/>
      <c r="I94" s="434"/>
    </row>
    <row r="95" spans="1:9" x14ac:dyDescent="0.3">
      <c r="A95" t="str">
        <f>IF('F2 - Données facturation'!$I$8=0,"Hide",IF($I$29="Oui","","Hide"))</f>
        <v>Hide</v>
      </c>
      <c r="E95" s="314"/>
      <c r="F95" s="432"/>
      <c r="G95" s="432"/>
      <c r="H95" s="432"/>
      <c r="I95" s="432"/>
    </row>
    <row r="96" spans="1:9" x14ac:dyDescent="0.3">
      <c r="A96" t="str">
        <f>IF('F2 - Données facturation'!$I$8=0,"Hide",IF($I$29="Oui","","Hide"))</f>
        <v>Hide</v>
      </c>
      <c r="E96" s="314"/>
      <c r="F96" s="432"/>
      <c r="G96" s="432"/>
      <c r="H96" s="432"/>
      <c r="I96" s="432"/>
    </row>
    <row r="97" spans="1:9" x14ac:dyDescent="0.3">
      <c r="A97" t="str">
        <f>IF('F2 - Données facturation'!$I$8=0,"Hide",IF($I$29="Oui","","Hide"))</f>
        <v>Hide</v>
      </c>
      <c r="E97" s="314"/>
      <c r="I97" s="432"/>
    </row>
    <row r="98" spans="1:9" x14ac:dyDescent="0.3">
      <c r="A98" t="str">
        <f>IF('F2 - Données facturation'!$I$8=0,"Hide",IF($I$29="Oui","","Hide"))</f>
        <v>Hide</v>
      </c>
      <c r="E98" s="314"/>
      <c r="F98" s="432"/>
      <c r="G98" s="432"/>
      <c r="H98" s="432"/>
      <c r="I98" s="432"/>
    </row>
    <row r="99" spans="1:9" x14ac:dyDescent="0.3">
      <c r="A99" t="str">
        <f>IF('F2 - Données facturation'!$I$8=0,"Hide",IF($I$29="Oui","","Hide"))</f>
        <v>Hide</v>
      </c>
      <c r="E99" s="314"/>
      <c r="F99" s="432"/>
      <c r="G99" s="432"/>
      <c r="H99" s="432"/>
      <c r="I99" s="432"/>
    </row>
    <row r="100" spans="1:9" x14ac:dyDescent="0.3">
      <c r="A100" t="str">
        <f>IF('F2 - Données facturation'!$I$8=0,"Hide",IF($I$29="Oui","","Hide"))</f>
        <v>Hide</v>
      </c>
      <c r="E100" s="314"/>
      <c r="F100" s="432"/>
      <c r="G100" s="432"/>
      <c r="H100" s="432"/>
      <c r="I100" s="432"/>
    </row>
    <row r="101" spans="1:9" x14ac:dyDescent="0.3">
      <c r="A101" t="str">
        <f>IF('F2 - Données facturation'!$I$8=0,"Hide",IF($I$29="Oui","","Hide"))</f>
        <v>Hide</v>
      </c>
      <c r="E101" s="314"/>
      <c r="F101" s="434"/>
      <c r="G101" s="481"/>
      <c r="H101" s="432"/>
      <c r="I101" s="432"/>
    </row>
    <row r="102" spans="1:9" x14ac:dyDescent="0.3">
      <c r="A102" t="str">
        <f>IF('F2 - Données facturation'!$I$8=0,"Hide",IF($I$29="Oui","","Hide"))</f>
        <v>Hide</v>
      </c>
      <c r="E102" s="314"/>
      <c r="F102" s="432"/>
      <c r="G102" s="432"/>
      <c r="H102" s="432"/>
      <c r="I102" s="432"/>
    </row>
    <row r="103" spans="1:9" x14ac:dyDescent="0.3">
      <c r="A103" t="str">
        <f>IF('F2 - Données facturation'!$I$8=0,"Hide",IF($I$29="Oui","","Hide"))</f>
        <v>Hide</v>
      </c>
      <c r="E103" s="314"/>
      <c r="F103" s="314"/>
      <c r="G103" s="314"/>
      <c r="H103" s="314"/>
      <c r="I103" s="314"/>
    </row>
    <row r="104" spans="1:9" x14ac:dyDescent="0.3">
      <c r="A104" t="str">
        <f>IF('F2 - Données facturation'!$I$8=0,"Hide",IF($I$29="Oui","","Hide"))</f>
        <v>Hide</v>
      </c>
      <c r="E104" s="314"/>
      <c r="F104" s="314"/>
      <c r="G104" s="314"/>
      <c r="H104" s="314"/>
      <c r="I104" s="314"/>
    </row>
    <row r="105" spans="1:9" x14ac:dyDescent="0.3">
      <c r="A105" t="str">
        <f>IF('F2 - Données facturation'!$I$8=0,"Hide",IF($I$29="Oui","","Hide"))</f>
        <v>Hide</v>
      </c>
      <c r="E105" s="314"/>
      <c r="F105" s="314"/>
      <c r="G105" s="314"/>
      <c r="H105" s="314"/>
      <c r="I105" s="314"/>
    </row>
    <row r="106" spans="1:9" x14ac:dyDescent="0.3">
      <c r="A106" t="str">
        <f>IF('F2 - Données facturation'!$I$8=0,"Hide",IF($I$29="Oui","","Hide"))</f>
        <v>Hide</v>
      </c>
      <c r="E106" s="314"/>
      <c r="F106" s="314"/>
      <c r="G106" s="314"/>
      <c r="H106" s="314"/>
      <c r="I106" s="314"/>
    </row>
    <row r="107" spans="1:9" x14ac:dyDescent="0.3">
      <c r="A107" t="str">
        <f>IF('F2 - Données facturation'!$I$8=0,"Hide",IF($I$29="Oui","","Hide"))</f>
        <v>Hide</v>
      </c>
      <c r="E107" s="314"/>
      <c r="F107" s="314"/>
      <c r="G107" s="314"/>
      <c r="H107" s="314"/>
      <c r="I107" s="314"/>
    </row>
    <row r="108" spans="1:9" x14ac:dyDescent="0.3">
      <c r="A108" t="str">
        <f>IF('F2 - Données facturation'!$I$8=0,"Hide",IF($I$29="Oui","","Hide"))</f>
        <v>Hide</v>
      </c>
    </row>
    <row r="109" spans="1:9" x14ac:dyDescent="0.3">
      <c r="A109" t="str">
        <f>IF('F2 - Données facturation'!$I$8=0,"Hide",IF($I$29="Oui","","Hide"))</f>
        <v>Hide</v>
      </c>
    </row>
    <row r="110" spans="1:9" ht="18" x14ac:dyDescent="0.35">
      <c r="A110" t="str">
        <f>IF('F2 - Données facturation'!$I$9=0,"Hide",IF($I$29="Oui","","Hide"))</f>
        <v>Hide</v>
      </c>
      <c r="B110" s="486">
        <f>'F0 - Données générales'!C2</f>
        <v>0</v>
      </c>
      <c r="C110" s="486" t="s">
        <v>653</v>
      </c>
      <c r="D110" s="485"/>
      <c r="E110" s="485"/>
      <c r="F110" s="485"/>
      <c r="G110" s="485"/>
      <c r="H110" s="485"/>
      <c r="I110" s="485"/>
    </row>
    <row r="111" spans="1:9" x14ac:dyDescent="0.3">
      <c r="A111" t="str">
        <f>IF('F2 - Données facturation'!$I$9=0,"Hide",IF($I$29="Oui","","Hide"))</f>
        <v>Hide</v>
      </c>
      <c r="B111" s="432"/>
      <c r="C111" s="432"/>
      <c r="D111" s="432"/>
      <c r="E111" s="432"/>
      <c r="F111" s="432"/>
      <c r="G111" s="432"/>
      <c r="H111" s="432"/>
      <c r="I111" s="432"/>
    </row>
    <row r="112" spans="1:9" x14ac:dyDescent="0.3">
      <c r="A112" t="str">
        <f>IF('F2 - Données facturation'!$I$9=0,"Hide",IF($I$29="Oui","","Hide"))</f>
        <v>Hide</v>
      </c>
      <c r="E112" s="432"/>
      <c r="F112" s="432"/>
      <c r="G112" s="432"/>
      <c r="H112" s="432"/>
      <c r="I112" s="484"/>
    </row>
    <row r="113" spans="1:9" x14ac:dyDescent="0.3">
      <c r="A113" t="str">
        <f>IF('F2 - Données facturation'!$I$9=0,"Hide",IF($I$29="Oui","","Hide"))</f>
        <v>Hide</v>
      </c>
      <c r="E113" s="432"/>
      <c r="F113" s="432"/>
      <c r="G113" s="438"/>
      <c r="H113" s="432"/>
      <c r="I113" s="432"/>
    </row>
    <row r="114" spans="1:9" x14ac:dyDescent="0.3">
      <c r="A114" t="str">
        <f>IF('F2 - Données facturation'!$I$9=0,"Hide",IF($I$29="Oui","","Hide"))</f>
        <v>Hide</v>
      </c>
      <c r="E114" s="432"/>
      <c r="F114" s="432"/>
      <c r="G114" s="438"/>
      <c r="H114" s="432"/>
      <c r="I114" s="432"/>
    </row>
    <row r="115" spans="1:9" x14ac:dyDescent="0.3">
      <c r="A115" t="str">
        <f>IF('F2 - Données facturation'!$I$9=0,"Hide",IF($I$29="Oui","","Hide"))</f>
        <v>Hide</v>
      </c>
      <c r="E115" s="432"/>
      <c r="F115" s="432"/>
      <c r="G115" s="432"/>
      <c r="H115" s="432"/>
      <c r="I115" s="432"/>
    </row>
    <row r="116" spans="1:9" x14ac:dyDescent="0.3">
      <c r="A116" t="str">
        <f>IF('F2 - Données facturation'!$I$9=0,"Hide",IF($I$29="Oui","","Hide"))</f>
        <v>Hide</v>
      </c>
      <c r="E116" s="432"/>
      <c r="F116" s="432"/>
      <c r="G116" s="432"/>
      <c r="H116" s="432"/>
      <c r="I116" s="432"/>
    </row>
    <row r="117" spans="1:9" x14ac:dyDescent="0.3">
      <c r="A117" t="str">
        <f>IF('F2 - Données facturation'!$I$9=0,"Hide",IF($I$29="Oui","","Hide"))</f>
        <v>Hide</v>
      </c>
      <c r="E117" s="438"/>
      <c r="F117" s="438" t="s">
        <v>201</v>
      </c>
      <c r="G117" s="487">
        <f>'F3 - Formations et absences enc'!D53</f>
        <v>1579.8699999999997</v>
      </c>
      <c r="H117" s="432"/>
      <c r="I117" s="432"/>
    </row>
    <row r="118" spans="1:9" x14ac:dyDescent="0.3">
      <c r="A118" t="str">
        <f>IF('F2 - Données facturation'!$I$9=0,"Hide",IF($I$29="Oui","","Hide"))</f>
        <v>Hide</v>
      </c>
      <c r="E118" s="432"/>
      <c r="F118" s="332"/>
      <c r="G118" s="332" t="s">
        <v>588</v>
      </c>
      <c r="H118" s="332" t="s">
        <v>651</v>
      </c>
      <c r="I118" s="444" t="s">
        <v>57</v>
      </c>
    </row>
    <row r="119" spans="1:9" x14ac:dyDescent="0.3">
      <c r="A119" t="str">
        <f>IF('F2 - Données facturation'!$I$9=0,"Hide",IF($I$29="Oui","","Hide"))</f>
        <v>Hide</v>
      </c>
      <c r="E119" s="432"/>
      <c r="F119" s="332" t="s">
        <v>650</v>
      </c>
      <c r="G119" s="444">
        <f>'F2 - Données facturation'!G9</f>
        <v>0</v>
      </c>
      <c r="H119" s="444">
        <f>'F2 - Données facturation'!H9</f>
        <v>0</v>
      </c>
      <c r="I119" s="444">
        <f>G119+H119</f>
        <v>0</v>
      </c>
    </row>
    <row r="120" spans="1:9" x14ac:dyDescent="0.3">
      <c r="A120" t="str">
        <f>IF('F2 - Données facturation'!$I$9=0,"Hide",IF($I$29="Oui","","Hide"))</f>
        <v>Hide</v>
      </c>
      <c r="E120" s="432"/>
      <c r="F120" s="432" t="s">
        <v>196</v>
      </c>
      <c r="G120" t="e">
        <f>I119/C118/G117</f>
        <v>#DIV/0!</v>
      </c>
      <c r="H120" s="432"/>
      <c r="I120" s="432"/>
    </row>
    <row r="121" spans="1:9" x14ac:dyDescent="0.3">
      <c r="A121" t="str">
        <f>IF('F2 - Données facturation'!$I$9=0,"Hide",IF($I$29="Oui","","Hide"))</f>
        <v>Hide</v>
      </c>
      <c r="E121" s="432"/>
      <c r="F121" s="432"/>
      <c r="H121" s="432"/>
      <c r="I121" s="432"/>
    </row>
    <row r="122" spans="1:9" x14ac:dyDescent="0.3">
      <c r="A122" t="str">
        <f>IF('F2 - Données facturation'!$I$9=0,"Hide",IF($I$29="Oui","","Hide"))</f>
        <v>Hide</v>
      </c>
      <c r="E122" s="432"/>
      <c r="I122" s="432"/>
    </row>
    <row r="123" spans="1:9" x14ac:dyDescent="0.3">
      <c r="A123" t="str">
        <f>IF('F2 - Données facturation'!$I$9=0,"Hide",IF($I$29="Oui","","Hide"))</f>
        <v>Hide</v>
      </c>
      <c r="E123" s="432"/>
      <c r="F123" s="432"/>
      <c r="G123" s="432"/>
      <c r="H123" s="432"/>
      <c r="I123" s="432"/>
    </row>
    <row r="124" spans="1:9" x14ac:dyDescent="0.3">
      <c r="A124" t="str">
        <f>IF('F2 - Données facturation'!$I$9=0,"Hide",IF($I$29="Oui","","Hide"))</f>
        <v>Hide</v>
      </c>
      <c r="E124" s="432"/>
      <c r="F124" s="432"/>
      <c r="G124" s="432"/>
      <c r="H124" s="432"/>
      <c r="I124" s="432"/>
    </row>
    <row r="125" spans="1:9" x14ac:dyDescent="0.3">
      <c r="A125" t="str">
        <f>IF('F2 - Données facturation'!$I$9=0,"Hide",IF($I$29="Oui","","Hide"))</f>
        <v>Hide</v>
      </c>
      <c r="E125" s="432"/>
      <c r="I125" s="432"/>
    </row>
    <row r="126" spans="1:9" x14ac:dyDescent="0.3">
      <c r="A126" t="str">
        <f>IF('F2 - Données facturation'!$I$9=0,"Hide",IF($I$29="Oui","","Hide"))</f>
        <v>Hide</v>
      </c>
      <c r="E126" s="432"/>
      <c r="F126" s="432"/>
      <c r="G126" s="432"/>
      <c r="H126" s="432"/>
      <c r="I126" s="432"/>
    </row>
    <row r="127" spans="1:9" x14ac:dyDescent="0.3">
      <c r="A127" t="str">
        <f>IF('F2 - Données facturation'!$I$9=0,"Hide",IF($I$29="Oui","","Hide"))</f>
        <v>Hide</v>
      </c>
      <c r="E127" s="432"/>
      <c r="F127" s="432"/>
      <c r="G127" s="432"/>
      <c r="H127" s="432"/>
      <c r="I127" s="432"/>
    </row>
    <row r="128" spans="1:9" x14ac:dyDescent="0.3">
      <c r="A128" t="str">
        <f>IF('F2 - Données facturation'!$I$9=0,"Hide",IF($I$29="Oui","","Hide"))</f>
        <v>Hide</v>
      </c>
      <c r="E128" s="432"/>
      <c r="F128" s="434"/>
      <c r="G128" s="481"/>
      <c r="H128" s="432"/>
      <c r="I128" s="432"/>
    </row>
    <row r="129" spans="1:9" x14ac:dyDescent="0.3">
      <c r="A129" t="str">
        <f>IF('F2 - Données facturation'!$I$9=0,"Hide",IF($I$29="Oui","","Hide"))</f>
        <v>Hide</v>
      </c>
      <c r="E129" s="432"/>
      <c r="F129" s="432"/>
      <c r="G129" s="432"/>
      <c r="H129" s="432"/>
      <c r="I129" s="432"/>
    </row>
    <row r="130" spans="1:9" x14ac:dyDescent="0.3">
      <c r="A130" t="str">
        <f>IF('F2 - Données facturation'!$I$9=0,"Hide",IF($I$29="Oui","","Hide"))</f>
        <v>Hide</v>
      </c>
      <c r="E130" s="432"/>
      <c r="F130" s="432"/>
      <c r="G130" s="432"/>
      <c r="H130" s="432"/>
      <c r="I130" s="432"/>
    </row>
    <row r="131" spans="1:9" x14ac:dyDescent="0.3">
      <c r="A131" t="str">
        <f>IF('F2 - Données facturation'!$I$9=0,"Hide",IF($I$29="Oui","","Hide"))</f>
        <v>Hide</v>
      </c>
      <c r="E131" s="432"/>
      <c r="F131" s="432"/>
      <c r="G131" s="432"/>
      <c r="H131" s="432"/>
      <c r="I131" s="432"/>
    </row>
    <row r="132" spans="1:9" x14ac:dyDescent="0.3">
      <c r="A132" t="str">
        <f>IF('F2 - Données facturation'!$I$9=0,"Hide",IF($I$29="Oui","","Hide"))</f>
        <v>Hide</v>
      </c>
      <c r="B132" s="432"/>
      <c r="D132" s="451"/>
      <c r="E132" s="432"/>
      <c r="F132" s="432"/>
      <c r="G132" s="432"/>
      <c r="H132" s="432"/>
      <c r="I132" s="432"/>
    </row>
    <row r="133" spans="1:9" x14ac:dyDescent="0.3">
      <c r="A133" t="str">
        <f>IF('F2 - Données facturation'!$I$9=0,"Hide",IF($I$29="Oui","","Hide"))</f>
        <v>Hide</v>
      </c>
      <c r="B133" s="432"/>
      <c r="D133" s="451"/>
      <c r="E133" s="432"/>
      <c r="F133" s="432"/>
      <c r="G133" s="432"/>
      <c r="H133" s="432"/>
      <c r="I133" s="432"/>
    </row>
    <row r="134" spans="1:9" x14ac:dyDescent="0.3">
      <c r="A134" t="str">
        <f>IF('F2 - Données facturation'!$I$9=0,"Hide",IF($I$29="Oui","","Hide"))</f>
        <v>Hide</v>
      </c>
      <c r="B134" s="432"/>
      <c r="D134" s="451"/>
      <c r="E134" s="432"/>
      <c r="F134" s="432"/>
      <c r="G134" s="432"/>
      <c r="H134" s="432"/>
      <c r="I134" s="432"/>
    </row>
    <row r="135" spans="1:9" x14ac:dyDescent="0.3">
      <c r="A135" t="str">
        <f>IF('F2 - Données facturation'!$I$9=0,"Hide",IF($I$29="Oui","","Hide"))</f>
        <v>Hide</v>
      </c>
    </row>
    <row r="136" spans="1:9" x14ac:dyDescent="0.3">
      <c r="A136" t="str">
        <f>IF('F2 - Données facturation'!$I$9=0,"Hide",IF($I$29="Oui","","Hide"))</f>
        <v>Hide</v>
      </c>
    </row>
    <row r="137" spans="1:9" x14ac:dyDescent="0.3">
      <c r="A137" t="str">
        <f>IF('F2 - Données facturation'!$I$9=0,"Hide",IF($I$29="Oui","","Hide"))</f>
        <v>Hide</v>
      </c>
    </row>
    <row r="138" spans="1:9" ht="18" x14ac:dyDescent="0.35">
      <c r="A138" t="str">
        <f>IF(SUM('F2 - Données facturation'!$I$10:$I$19)=0,"Hide",IF($I$29="Oui","","Hide"))</f>
        <v>Hide</v>
      </c>
      <c r="B138" s="486">
        <f>'F0 - Données générales'!C2</f>
        <v>0</v>
      </c>
      <c r="C138" s="486" t="s">
        <v>652</v>
      </c>
      <c r="D138" s="485"/>
      <c r="E138" s="485"/>
      <c r="F138" s="485"/>
      <c r="G138" s="485"/>
      <c r="H138" s="485"/>
      <c r="I138" s="485"/>
    </row>
    <row r="139" spans="1:9" x14ac:dyDescent="0.3">
      <c r="A139" t="str">
        <f>IF(SUM('F2 - Données facturation'!$I$10:$I$19)=0,"Hide",IF($I$29="Oui","","Hide"))</f>
        <v>Hide</v>
      </c>
      <c r="B139" s="432"/>
      <c r="C139" s="432"/>
      <c r="D139" s="432"/>
      <c r="E139" s="432"/>
      <c r="F139" s="432"/>
      <c r="G139" s="432"/>
      <c r="H139" s="432"/>
      <c r="I139" s="432"/>
    </row>
    <row r="140" spans="1:9" x14ac:dyDescent="0.3">
      <c r="A140" t="str">
        <f>IF(SUM('F2 - Données facturation'!$I$10:$I$19)=0,"Hide",IF($I$29="Oui","","Hide"))</f>
        <v>Hide</v>
      </c>
      <c r="B140" s="432"/>
      <c r="C140" s="432"/>
      <c r="D140" s="432"/>
      <c r="E140" s="432"/>
      <c r="F140" s="432"/>
      <c r="G140" s="432"/>
      <c r="H140" s="432"/>
      <c r="I140" s="484"/>
    </row>
    <row r="141" spans="1:9" x14ac:dyDescent="0.3">
      <c r="A141" t="str">
        <f>IF(SUM('F2 - Données facturation'!$I$10:$I$19)=0,"Hide",IF($I$29="Oui","","Hide"))</f>
        <v>Hide</v>
      </c>
      <c r="E141" s="432"/>
      <c r="F141" s="432"/>
      <c r="G141" s="438"/>
      <c r="H141" s="432"/>
      <c r="I141" s="432"/>
    </row>
    <row r="142" spans="1:9" x14ac:dyDescent="0.3">
      <c r="A142" t="str">
        <f>IF(SUM('F2 - Données facturation'!$I$10:$I$19)=0,"Hide",IF($I$29="Oui","","Hide"))</f>
        <v>Hide</v>
      </c>
      <c r="E142" s="432"/>
      <c r="F142" s="432"/>
      <c r="G142" s="432"/>
      <c r="H142" s="432"/>
      <c r="I142" s="432"/>
    </row>
    <row r="143" spans="1:9" x14ac:dyDescent="0.3">
      <c r="A143" t="str">
        <f>IF(SUM('F2 - Données facturation'!$I$10:$I$19)=0,"Hide",IF($I$29="Oui","","Hide"))</f>
        <v>Hide</v>
      </c>
      <c r="E143" s="432"/>
      <c r="F143" s="432"/>
      <c r="G143" s="432"/>
      <c r="H143" s="432"/>
      <c r="I143" s="432"/>
    </row>
    <row r="144" spans="1:9" x14ac:dyDescent="0.3">
      <c r="A144" t="str">
        <f>IF(SUM('F2 - Données facturation'!$I$10:$I$19)=0,"Hide",IF($I$29="Oui","","Hide"))</f>
        <v>Hide</v>
      </c>
      <c r="E144" s="438"/>
      <c r="F144" s="438" t="s">
        <v>201</v>
      </c>
      <c r="G144" s="483">
        <f>'F3 - Formations et absences enc'!D53</f>
        <v>1579.8699999999997</v>
      </c>
      <c r="H144" s="483"/>
      <c r="I144" s="483"/>
    </row>
    <row r="145" spans="1:11" x14ac:dyDescent="0.3">
      <c r="A145" t="str">
        <f>IF(SUM('F2 - Données facturation'!$I$10:$I$19)=0,"Hide",IF($I$29="Oui","","Hide"))</f>
        <v>Hide</v>
      </c>
      <c r="E145" s="432"/>
      <c r="F145" s="332"/>
      <c r="G145" s="482" t="s">
        <v>588</v>
      </c>
      <c r="H145" s="482" t="s">
        <v>651</v>
      </c>
      <c r="I145" s="482" t="s">
        <v>57</v>
      </c>
    </row>
    <row r="146" spans="1:11" x14ac:dyDescent="0.3">
      <c r="A146" t="str">
        <f>IF(SUM('F2 - Données facturation'!$I$10:$I$19)=0,"Hide",IF($I$29="Oui","","Hide"))</f>
        <v>Hide</v>
      </c>
      <c r="E146" s="432"/>
      <c r="F146" s="332" t="s">
        <v>650</v>
      </c>
      <c r="G146" s="482">
        <f>'F2 - Données facturation'!G10</f>
        <v>0</v>
      </c>
      <c r="H146" s="482">
        <f>'F2 - Données facturation'!H10</f>
        <v>0</v>
      </c>
      <c r="I146" s="482">
        <f>G146+H146</f>
        <v>0</v>
      </c>
    </row>
    <row r="147" spans="1:11" x14ac:dyDescent="0.3">
      <c r="A147" t="str">
        <f>IF(SUM('F2 - Données facturation'!$I$10:$I$19)=0,"Hide",IF($I$29="Oui","","Hide"))</f>
        <v>Hide</v>
      </c>
      <c r="B147" s="432"/>
      <c r="C147" s="432"/>
      <c r="D147" s="432"/>
      <c r="E147" s="432"/>
      <c r="F147" s="432" t="s">
        <v>196</v>
      </c>
      <c r="G147" t="e">
        <f>I146/C145/G144</f>
        <v>#DIV/0!</v>
      </c>
      <c r="H147" s="432"/>
      <c r="I147" s="432"/>
    </row>
    <row r="148" spans="1:11" x14ac:dyDescent="0.3">
      <c r="A148" t="str">
        <f>IF(SUM('F2 - Données facturation'!$I$10:$I$19)=0,"Hide",IF($I$29="Oui","","Hide"))</f>
        <v>Hide</v>
      </c>
      <c r="B148" s="432"/>
      <c r="C148" s="432"/>
      <c r="D148" s="432"/>
      <c r="E148" s="432"/>
      <c r="F148" s="432"/>
      <c r="H148" s="432"/>
      <c r="I148" s="432"/>
    </row>
    <row r="149" spans="1:11" x14ac:dyDescent="0.3">
      <c r="A149" t="str">
        <f>IF(SUM('F2 - Données facturation'!$I$10:$I$19)=0,"Hide",IF($I$29="Oui","","Hide"))</f>
        <v>Hide</v>
      </c>
      <c r="B149" s="432"/>
      <c r="C149" s="432"/>
      <c r="D149" s="432"/>
      <c r="E149" s="432"/>
      <c r="I149" s="432"/>
    </row>
    <row r="150" spans="1:11" x14ac:dyDescent="0.3">
      <c r="A150" t="str">
        <f>IF(SUM('F2 - Données facturation'!$I$10:$I$19)=0,"Hide",IF($I$29="Oui","","Hide"))</f>
        <v>Hide</v>
      </c>
      <c r="B150" s="432"/>
      <c r="C150" s="432"/>
      <c r="D150" s="432"/>
      <c r="E150" s="432"/>
      <c r="F150" s="432"/>
      <c r="G150" s="432"/>
      <c r="H150" s="432"/>
      <c r="I150" s="432"/>
    </row>
    <row r="151" spans="1:11" x14ac:dyDescent="0.3">
      <c r="A151" t="str">
        <f>IF(SUM('F2 - Données facturation'!$I$10:$I$19)=0,"Hide",IF($I$29="Oui","","Hide"))</f>
        <v>Hide</v>
      </c>
      <c r="B151" s="432"/>
      <c r="C151" s="432"/>
      <c r="D151" s="432"/>
      <c r="E151" s="432"/>
      <c r="F151" s="432"/>
      <c r="G151" s="432"/>
      <c r="H151" s="432"/>
      <c r="I151" s="432"/>
    </row>
    <row r="152" spans="1:11" x14ac:dyDescent="0.3">
      <c r="A152" t="str">
        <f>IF(SUM('F2 - Données facturation'!$I$10:$I$19)=0,"Hide",IF($I$29="Oui","","Hide"))</f>
        <v>Hide</v>
      </c>
      <c r="B152" s="432"/>
      <c r="C152" s="432"/>
      <c r="D152" s="432"/>
      <c r="E152" s="432"/>
      <c r="I152" s="432"/>
    </row>
    <row r="153" spans="1:11" x14ac:dyDescent="0.3">
      <c r="A153" t="str">
        <f>IF(SUM('F2 - Données facturation'!$I$10:$I$19)=0,"Hide",IF($I$29="Oui","","Hide"))</f>
        <v>Hide</v>
      </c>
      <c r="B153" s="432"/>
      <c r="C153" s="432"/>
      <c r="D153" s="432"/>
      <c r="E153" s="432"/>
      <c r="F153" s="432"/>
      <c r="G153" s="432"/>
      <c r="H153" s="432"/>
      <c r="I153" s="432"/>
      <c r="J153" s="432"/>
      <c r="K153" s="432"/>
    </row>
    <row r="154" spans="1:11" x14ac:dyDescent="0.3">
      <c r="A154" t="str">
        <f>IF(SUM('F2 - Données facturation'!$I$10:$I$19)=0,"Hide",IF($I$29="Oui","","Hide"))</f>
        <v>Hide</v>
      </c>
      <c r="B154" s="432"/>
      <c r="C154" s="432"/>
      <c r="D154" s="432"/>
      <c r="E154" s="432"/>
      <c r="F154" s="432"/>
      <c r="G154" s="432"/>
      <c r="H154" s="432"/>
      <c r="I154" s="432"/>
      <c r="J154" s="432"/>
      <c r="K154" s="432"/>
    </row>
    <row r="155" spans="1:11" x14ac:dyDescent="0.3">
      <c r="A155" t="str">
        <f>IF(SUM('F2 - Données facturation'!$I$10:$I$19)=0,"Hide",IF($I$29="Oui","","Hide"))</f>
        <v>Hide</v>
      </c>
      <c r="B155" s="432"/>
      <c r="D155" s="451"/>
      <c r="E155" s="432"/>
      <c r="F155" s="434"/>
      <c r="G155" s="481"/>
      <c r="H155" s="432"/>
      <c r="I155" s="432"/>
      <c r="J155" s="432"/>
      <c r="K155" s="432"/>
    </row>
    <row r="156" spans="1:11" x14ac:dyDescent="0.3">
      <c r="A156" t="str">
        <f>IF(SUM('F2 - Données facturation'!$I$10:$I$19)=0,"Hide",IF($I$29="Oui","","Hide"))</f>
        <v>Hide</v>
      </c>
      <c r="B156" s="432"/>
      <c r="D156" s="451"/>
      <c r="E156" s="432"/>
      <c r="F156" s="432"/>
      <c r="G156" s="432"/>
      <c r="H156" s="432"/>
      <c r="I156" s="432"/>
    </row>
    <row r="157" spans="1:11" x14ac:dyDescent="0.3">
      <c r="A157" t="str">
        <f>IF(SUM('F2 - Données facturation'!$I$10:$I$19)=0,"Hide",IF($I$29="Oui","","Hide"))</f>
        <v>Hide</v>
      </c>
      <c r="B157" s="432"/>
      <c r="D157" s="451"/>
      <c r="E157" s="432"/>
      <c r="F157" s="432"/>
      <c r="G157" s="432"/>
      <c r="H157" s="432"/>
      <c r="I157" s="432"/>
    </row>
    <row r="158" spans="1:11" x14ac:dyDescent="0.3">
      <c r="A158" t="str">
        <f>IF(SUM('F2 - Données facturation'!$I$10:$I$19)=0,"Hide",IF($I$29="Oui","","Hide"))</f>
        <v>Hide</v>
      </c>
      <c r="B158" s="432"/>
      <c r="D158" s="451"/>
      <c r="E158" s="432"/>
      <c r="F158" s="432"/>
      <c r="G158" s="432"/>
      <c r="H158" s="432"/>
      <c r="I158" s="432"/>
    </row>
    <row r="159" spans="1:11" x14ac:dyDescent="0.3">
      <c r="A159" t="str">
        <f>IF(SUM('F2 - Données facturation'!$I$10:$I$19)=0,"Hide",IF($I$29="Oui","","Hide"))</f>
        <v>Hide</v>
      </c>
      <c r="B159" s="432"/>
      <c r="D159" s="451"/>
      <c r="E159" s="432"/>
      <c r="F159" s="432"/>
      <c r="G159" s="432"/>
      <c r="H159" s="432"/>
      <c r="I159" s="432"/>
      <c r="J159" s="435"/>
      <c r="K159" s="432"/>
    </row>
    <row r="160" spans="1:11" x14ac:dyDescent="0.3">
      <c r="A160" t="str">
        <f>IF(SUM('F2 - Données facturation'!$I$10:$I$19)=0,"Hide",IF($I$29="Oui","","Hide"))</f>
        <v>Hide</v>
      </c>
      <c r="B160" s="432"/>
      <c r="D160" s="451"/>
      <c r="E160" s="432"/>
      <c r="F160" s="432"/>
      <c r="G160" s="432"/>
      <c r="H160" s="432"/>
      <c r="I160" s="432"/>
      <c r="J160" s="432"/>
      <c r="K160" s="432"/>
    </row>
    <row r="161" spans="1:11" x14ac:dyDescent="0.3">
      <c r="A161" t="str">
        <f>IF(SUM('F2 - Données facturation'!$I$10:$I$19)=0,"Hide",IF($I$29="Oui","","Hide"))</f>
        <v>Hide</v>
      </c>
      <c r="B161" s="432"/>
      <c r="D161" s="451"/>
      <c r="E161" s="432"/>
      <c r="F161" s="432"/>
      <c r="G161" s="432"/>
      <c r="H161" s="432"/>
      <c r="I161" s="432"/>
      <c r="J161" s="432"/>
      <c r="K161" s="432"/>
    </row>
    <row r="162" spans="1:11" x14ac:dyDescent="0.3">
      <c r="A162" t="str">
        <f>IF(SUM('F2 - Données facturation'!$I$10:$I$19)=0,"Hide",IF($I$29="Oui","","Hide"))</f>
        <v>Hide</v>
      </c>
      <c r="J162" s="432"/>
      <c r="K162" s="432"/>
    </row>
    <row r="163" spans="1:11" ht="15" thickBot="1" x14ac:dyDescent="0.35">
      <c r="A163" t="str">
        <f>IF(SUM('F2 - Données facturation'!$I$10:$I$19)=0,"Hide",IF($I$29="Oui","","Hide"))</f>
        <v>Hide</v>
      </c>
      <c r="B163" s="406"/>
      <c r="C163" s="406"/>
      <c r="D163" s="406"/>
      <c r="E163" s="406"/>
      <c r="F163" s="406"/>
      <c r="G163" s="406"/>
      <c r="H163" s="406"/>
      <c r="I163" s="406"/>
      <c r="J163" s="432"/>
      <c r="K163" s="432"/>
    </row>
    <row r="164" spans="1:11" x14ac:dyDescent="0.3">
      <c r="A164" t="str">
        <f>IF('F2 - Données facturation'!$N$32=0,"Hide","")</f>
        <v>Hide</v>
      </c>
      <c r="J164" s="432"/>
      <c r="K164" s="432"/>
    </row>
    <row r="165" spans="1:11" x14ac:dyDescent="0.3">
      <c r="A165" t="str">
        <f>IF('F2 - Données facturation'!$N$32=0,"Hide","")</f>
        <v>Hide</v>
      </c>
    </row>
    <row r="166" spans="1:11" x14ac:dyDescent="0.3">
      <c r="A166" t="str">
        <f>IF('F2 - Données facturation'!$N$32=0,"Hide","")</f>
        <v>Hide</v>
      </c>
    </row>
    <row r="167" spans="1:11" ht="19.8" x14ac:dyDescent="0.3">
      <c r="A167" t="str">
        <f>IF('F2 - Données facturation'!$N$32=0,"Hide","")</f>
        <v>Hide</v>
      </c>
      <c r="B167" s="1030" t="s">
        <v>729</v>
      </c>
      <c r="C167" s="1030"/>
      <c r="D167" s="1030"/>
      <c r="E167" s="1030"/>
      <c r="F167" s="1030"/>
      <c r="G167" s="1030"/>
    </row>
    <row r="168" spans="1:11" x14ac:dyDescent="0.3">
      <c r="A168" t="str">
        <f>IF('F2 - Données facturation'!$N$32=0,"Hide","")</f>
        <v>Hide</v>
      </c>
    </row>
    <row r="169" spans="1:11" x14ac:dyDescent="0.3">
      <c r="A169" t="str">
        <f>IF('F2 - Données facturation'!$N$32=0,"Hide","")</f>
        <v>Hide</v>
      </c>
      <c r="B169" t="s">
        <v>590</v>
      </c>
      <c r="C169">
        <f>'F0 - Données générales'!C2</f>
        <v>0</v>
      </c>
    </row>
    <row r="170" spans="1:11" x14ac:dyDescent="0.3">
      <c r="A170" t="str">
        <f>IF('F2 - Données facturation'!$N$32=0,"Hide","")</f>
        <v>Hide</v>
      </c>
      <c r="B170" t="s">
        <v>589</v>
      </c>
      <c r="C170">
        <f>'F0 - Données générales'!C4</f>
        <v>7</v>
      </c>
    </row>
    <row r="171" spans="1:11" x14ac:dyDescent="0.3">
      <c r="A171" t="str">
        <f>IF('F2 - Données facturation'!$N$32=0,"Hide","")</f>
        <v>Hide</v>
      </c>
    </row>
    <row r="172" spans="1:11" x14ac:dyDescent="0.3">
      <c r="A172" t="str">
        <f>IF('F2 - Données facturation'!$N$32=0,"Hide","")</f>
        <v>Hide</v>
      </c>
    </row>
    <row r="173" spans="1:11" x14ac:dyDescent="0.3">
      <c r="A173" t="str">
        <f>IF('F2 - Données facturation'!$N$32=0,"Hide","")</f>
        <v>Hide</v>
      </c>
    </row>
    <row r="174" spans="1:11" x14ac:dyDescent="0.3">
      <c r="A174" t="str">
        <f>IF('F2 - Données facturation'!$N$32=0,"Hide","")</f>
        <v>Hide</v>
      </c>
      <c r="B174" s="432"/>
      <c r="C174" s="432"/>
      <c r="D174" s="432"/>
      <c r="E174" s="432"/>
      <c r="F174" s="432"/>
      <c r="G174" s="432"/>
      <c r="H174" s="432"/>
      <c r="I174" s="432"/>
      <c r="J174" s="432"/>
      <c r="K174" s="432"/>
    </row>
    <row r="175" spans="1:11" x14ac:dyDescent="0.3">
      <c r="A175" t="str">
        <f>IF('F2 - Données facturation'!$N$32=0,"Hide","")</f>
        <v>Hide</v>
      </c>
      <c r="B175" s="432"/>
      <c r="C175" s="432"/>
      <c r="D175" s="432"/>
      <c r="E175" s="432"/>
      <c r="F175" s="432"/>
      <c r="G175" s="432"/>
      <c r="H175" s="432"/>
      <c r="I175" s="432"/>
      <c r="J175" s="432"/>
      <c r="K175" s="432"/>
    </row>
    <row r="176" spans="1:11" ht="15" thickBot="1" x14ac:dyDescent="0.35">
      <c r="A176" t="str">
        <f>IF('F2 - Données facturation'!$N$32=0,"Hide","")</f>
        <v>Hide</v>
      </c>
      <c r="B176" s="432"/>
      <c r="C176" s="432"/>
      <c r="D176" s="432"/>
      <c r="E176" s="432"/>
      <c r="F176" s="432"/>
      <c r="G176" s="432"/>
      <c r="H176" s="432"/>
      <c r="I176" s="432"/>
      <c r="J176" s="432"/>
      <c r="K176" s="432"/>
    </row>
    <row r="177" spans="1:11" ht="15" thickBot="1" x14ac:dyDescent="0.35">
      <c r="A177" t="str">
        <f>IF('F2 - Données facturation'!$N$32=0,"Hide","")</f>
        <v>Hide</v>
      </c>
      <c r="B177" s="432"/>
      <c r="C177" s="478" t="s">
        <v>588</v>
      </c>
      <c r="D177" s="478" t="s">
        <v>587</v>
      </c>
      <c r="E177" s="478" t="s">
        <v>649</v>
      </c>
      <c r="F177" s="478" t="s">
        <v>505</v>
      </c>
      <c r="G177" s="478" t="s">
        <v>585</v>
      </c>
      <c r="H177" s="478" t="s">
        <v>180</v>
      </c>
      <c r="I177" s="478" t="s">
        <v>584</v>
      </c>
      <c r="J177" s="478" t="s">
        <v>648</v>
      </c>
      <c r="K177" s="478" t="s">
        <v>647</v>
      </c>
    </row>
    <row r="178" spans="1:11" ht="15" thickBot="1" x14ac:dyDescent="0.35">
      <c r="A178" t="str">
        <f>IF('F2 - Données facturation'!$N$32=0,"Hide","")</f>
        <v>Hide</v>
      </c>
      <c r="B178" s="432"/>
      <c r="C178" s="478" t="s">
        <v>94</v>
      </c>
      <c r="D178" s="480">
        <f>'F2 - Données facturation'!F32</f>
        <v>0</v>
      </c>
      <c r="E178" s="480">
        <f>'F2 - Données facturation'!G32</f>
        <v>0</v>
      </c>
      <c r="F178" s="480">
        <f>'F2 - Données facturation'!I32</f>
        <v>0</v>
      </c>
      <c r="G178" s="480">
        <f>'F2 - Données facturation'!H32</f>
        <v>0</v>
      </c>
      <c r="H178" s="480">
        <f>'F2 - Données facturation'!J32</f>
        <v>0</v>
      </c>
      <c r="I178" s="480">
        <f>'F2 - Données facturation'!L32</f>
        <v>0</v>
      </c>
      <c r="J178" s="480">
        <v>0</v>
      </c>
      <c r="K178" s="480">
        <v>0</v>
      </c>
    </row>
    <row r="179" spans="1:11" ht="15" thickBot="1" x14ac:dyDescent="0.35">
      <c r="A179" t="str">
        <f>IF('F2 - Données facturation'!$N$32=0,"Hide","")</f>
        <v>Hide</v>
      </c>
      <c r="B179" s="479">
        <v>365</v>
      </c>
      <c r="C179" s="478" t="s">
        <v>583</v>
      </c>
      <c r="D179" s="441">
        <f>D178/B179</f>
        <v>0</v>
      </c>
      <c r="E179" s="441">
        <f>E178/B179</f>
        <v>0</v>
      </c>
      <c r="F179" s="441">
        <f>F178/B179</f>
        <v>0</v>
      </c>
      <c r="G179" s="441">
        <f>G178/B179</f>
        <v>0</v>
      </c>
      <c r="H179" s="441">
        <f>H178/B179</f>
        <v>0</v>
      </c>
      <c r="I179" s="441">
        <f>I178/B179</f>
        <v>0</v>
      </c>
      <c r="J179" s="441">
        <f>J178/B179</f>
        <v>0</v>
      </c>
      <c r="K179" s="441">
        <f>K178/B179</f>
        <v>0</v>
      </c>
    </row>
    <row r="180" spans="1:11" x14ac:dyDescent="0.3">
      <c r="A180" t="str">
        <f>IF('F2 - Données facturation'!$N$32=0,"Hide","")</f>
        <v>Hide</v>
      </c>
      <c r="B180" s="440"/>
      <c r="C180" s="432"/>
      <c r="D180" s="435"/>
      <c r="E180" s="435"/>
      <c r="F180" s="435"/>
      <c r="G180" s="435"/>
      <c r="H180" s="435"/>
      <c r="I180" s="435"/>
      <c r="J180" s="435"/>
      <c r="K180" s="432"/>
    </row>
    <row r="181" spans="1:11" x14ac:dyDescent="0.3">
      <c r="A181" t="str">
        <f>IF('F2 - Données facturation'!$N$32=0,"Hide","")</f>
        <v>Hide</v>
      </c>
      <c r="B181" s="440"/>
      <c r="C181" s="432"/>
      <c r="D181" s="435"/>
      <c r="E181" s="435"/>
      <c r="F181" s="435"/>
      <c r="G181" s="435"/>
      <c r="H181" s="435"/>
      <c r="I181" s="432"/>
      <c r="J181" s="432"/>
      <c r="K181" s="432"/>
    </row>
    <row r="182" spans="1:11" ht="15" customHeight="1" x14ac:dyDescent="0.3">
      <c r="A182" t="str">
        <f>IF('F2 - Données facturation'!$F$32=0,"Hide","")</f>
        <v>Hide</v>
      </c>
      <c r="B182" s="1027" t="s">
        <v>646</v>
      </c>
      <c r="C182" s="1027"/>
      <c r="D182" s="435"/>
      <c r="E182" s="435"/>
      <c r="F182" s="435"/>
      <c r="G182" s="435"/>
      <c r="H182" s="435"/>
      <c r="I182" s="432"/>
      <c r="J182" s="432"/>
      <c r="K182" s="432"/>
    </row>
    <row r="183" spans="1:11" x14ac:dyDescent="0.3">
      <c r="A183" t="str">
        <f>IF('F2 - Données facturation'!$F$32=0,"Hide","")</f>
        <v>Hide</v>
      </c>
      <c r="B183" s="440"/>
      <c r="C183" s="432"/>
      <c r="D183" s="435"/>
      <c r="E183" s="435"/>
      <c r="F183" s="435"/>
      <c r="G183" s="435"/>
      <c r="H183" s="435"/>
      <c r="I183" s="432"/>
      <c r="J183" s="432"/>
      <c r="K183" s="432"/>
    </row>
    <row r="184" spans="1:11" x14ac:dyDescent="0.3">
      <c r="A184" t="str">
        <f>IF('F2 - Données facturation'!$F$32=0,"Hide","")</f>
        <v>Hide</v>
      </c>
      <c r="B184" s="432"/>
      <c r="C184" s="432"/>
      <c r="D184" s="432"/>
      <c r="E184" s="432"/>
      <c r="F184" s="432"/>
      <c r="G184" s="432"/>
      <c r="H184" s="432"/>
      <c r="I184" s="432"/>
      <c r="J184" s="432"/>
      <c r="K184" s="432"/>
    </row>
    <row r="185" spans="1:11" x14ac:dyDescent="0.3">
      <c r="A185" t="str">
        <f>IF('F2 - Données facturation'!$F$32=0,"Hide","")</f>
        <v>Hide</v>
      </c>
      <c r="B185" s="1017" t="s">
        <v>582</v>
      </c>
      <c r="C185" s="1017"/>
      <c r="D185" s="1017"/>
      <c r="E185" s="1017"/>
      <c r="F185" s="1017"/>
      <c r="G185" s="438"/>
      <c r="H185" s="438"/>
      <c r="I185" s="432"/>
      <c r="J185" s="432"/>
      <c r="K185" s="432"/>
    </row>
    <row r="186" spans="1:11" x14ac:dyDescent="0.3">
      <c r="A186" t="str">
        <f>IF('F2 - Données facturation'!$F$32=0,"Hide","")</f>
        <v>Hide</v>
      </c>
      <c r="B186" s="432"/>
      <c r="C186" s="432"/>
      <c r="D186" s="432"/>
      <c r="E186" s="432"/>
      <c r="F186" s="432"/>
      <c r="G186" s="432"/>
      <c r="H186" s="432"/>
      <c r="I186" s="432"/>
      <c r="J186" s="432"/>
      <c r="K186" s="432"/>
    </row>
    <row r="187" spans="1:11" x14ac:dyDescent="0.3">
      <c r="A187" t="str">
        <f>IF('F2 - Données facturation'!$F$32=0,"Hide","")</f>
        <v>Hide</v>
      </c>
      <c r="B187" s="432"/>
      <c r="C187" s="436" t="s">
        <v>645</v>
      </c>
      <c r="D187" s="432"/>
      <c r="E187" s="432"/>
      <c r="F187" s="432"/>
      <c r="G187" s="432"/>
      <c r="H187" s="432"/>
      <c r="I187" s="432"/>
      <c r="J187" s="432"/>
      <c r="K187" s="432"/>
    </row>
    <row r="188" spans="1:11" x14ac:dyDescent="0.3">
      <c r="A188" t="str">
        <f>IF('F2 - Données facturation'!$F$32=0,"Hide","")</f>
        <v>Hide</v>
      </c>
      <c r="B188" s="432"/>
      <c r="C188" s="432"/>
      <c r="D188" s="432"/>
      <c r="E188" s="432"/>
      <c r="F188" s="432"/>
      <c r="G188" s="432"/>
      <c r="H188" s="432"/>
      <c r="I188" s="432"/>
      <c r="J188" s="432"/>
      <c r="K188" s="432"/>
    </row>
    <row r="189" spans="1:11" x14ac:dyDescent="0.3">
      <c r="A189" t="str">
        <f>IF('F2 - Données facturation'!$F$32=0,"Hide","")</f>
        <v>Hide</v>
      </c>
      <c r="B189" s="432"/>
      <c r="C189" s="1011" t="s">
        <v>644</v>
      </c>
      <c r="D189" s="1011"/>
      <c r="E189" s="433">
        <f>0.7345*D179</f>
        <v>0</v>
      </c>
      <c r="F189" s="432" t="s">
        <v>533</v>
      </c>
      <c r="G189" s="432"/>
      <c r="H189" s="432"/>
      <c r="I189" s="432"/>
      <c r="J189" s="432"/>
      <c r="K189" s="432"/>
    </row>
    <row r="190" spans="1:11" x14ac:dyDescent="0.3">
      <c r="A190" t="str">
        <f>IF('F2 - Données facturation'!$F$32=0,"Hide","")</f>
        <v>Hide</v>
      </c>
      <c r="B190" s="432"/>
      <c r="C190" s="432"/>
      <c r="D190" s="432"/>
      <c r="E190" s="432"/>
      <c r="F190" s="432"/>
      <c r="G190" s="432"/>
      <c r="H190" s="432"/>
      <c r="I190" s="432"/>
      <c r="J190" s="432"/>
      <c r="K190" s="432"/>
    </row>
    <row r="191" spans="1:11" x14ac:dyDescent="0.3">
      <c r="A191" t="str">
        <f>IF('F2 - Données facturation'!$F$32=0,"Hide","")</f>
        <v>Hide</v>
      </c>
      <c r="B191" s="432"/>
      <c r="C191" s="438" t="s">
        <v>643</v>
      </c>
      <c r="D191" s="438"/>
      <c r="E191" s="438"/>
      <c r="F191" s="438"/>
      <c r="G191" s="438"/>
      <c r="H191" s="438"/>
      <c r="I191" s="432"/>
      <c r="J191" s="432"/>
      <c r="K191" s="432"/>
    </row>
    <row r="192" spans="1:11" x14ac:dyDescent="0.3">
      <c r="A192" t="str">
        <f>IF('F2 - Données facturation'!$F$32=0,"Hide","")</f>
        <v>Hide</v>
      </c>
      <c r="B192" s="432"/>
      <c r="C192" s="432"/>
      <c r="D192" s="432"/>
      <c r="E192" s="432"/>
      <c r="F192" s="432"/>
      <c r="G192" s="432"/>
      <c r="H192" s="432"/>
      <c r="I192" s="432"/>
      <c r="J192" s="432"/>
      <c r="K192" s="432"/>
    </row>
    <row r="193" spans="1:11" x14ac:dyDescent="0.3">
      <c r="A193" t="str">
        <f>IF('F2 - Données facturation'!$F$32=0,"Hide","")</f>
        <v>Hide</v>
      </c>
      <c r="B193" s="432"/>
      <c r="C193" s="433">
        <f>E189</f>
        <v>0</v>
      </c>
      <c r="D193" s="438" t="s">
        <v>642</v>
      </c>
      <c r="E193" s="432"/>
      <c r="F193" s="432"/>
      <c r="G193" s="432"/>
      <c r="H193" s="432"/>
      <c r="I193" s="432"/>
      <c r="J193" s="432"/>
      <c r="K193" s="432"/>
    </row>
    <row r="194" spans="1:11" x14ac:dyDescent="0.3">
      <c r="A194" t="str">
        <f>IF('F2 - Données facturation'!$F$32=0,"Hide","")</f>
        <v>Hide</v>
      </c>
      <c r="B194" s="432"/>
      <c r="C194" s="432"/>
      <c r="D194" s="432"/>
      <c r="E194" s="432"/>
      <c r="F194" s="432"/>
      <c r="G194" s="432"/>
      <c r="H194" s="432"/>
      <c r="I194" s="432"/>
      <c r="J194" s="432"/>
      <c r="K194" s="432"/>
    </row>
    <row r="195" spans="1:11" x14ac:dyDescent="0.3">
      <c r="A195" t="str">
        <f>IF('F2 - Données facturation'!$F$32=0,"Hide","")</f>
        <v>Hide</v>
      </c>
      <c r="B195" s="432"/>
      <c r="C195" s="432"/>
      <c r="D195" s="432"/>
      <c r="E195" s="432"/>
      <c r="F195" s="432"/>
      <c r="G195" s="432"/>
      <c r="H195" s="432"/>
      <c r="I195" s="432"/>
      <c r="J195" s="432"/>
      <c r="K195" s="432"/>
    </row>
    <row r="196" spans="1:11" x14ac:dyDescent="0.3">
      <c r="A196" t="str">
        <f>IF('F2 - Données facturation'!$F$32=0,"Hide","")</f>
        <v>Hide</v>
      </c>
      <c r="B196" s="1017" t="s">
        <v>612</v>
      </c>
      <c r="C196" s="1017"/>
      <c r="D196" s="1017"/>
      <c r="E196" s="1017"/>
      <c r="F196" s="1017"/>
      <c r="G196" s="438"/>
      <c r="H196" s="438"/>
      <c r="I196" s="432"/>
      <c r="J196" s="432"/>
      <c r="K196" s="432"/>
    </row>
    <row r="197" spans="1:11" x14ac:dyDescent="0.3">
      <c r="A197" t="str">
        <f>IF('F2 - Données facturation'!$F$32=0,"Hide","")</f>
        <v>Hide</v>
      </c>
      <c r="B197" s="432"/>
      <c r="C197" s="432"/>
      <c r="D197" s="432"/>
      <c r="E197" s="432"/>
      <c r="F197" s="432"/>
      <c r="G197" s="432"/>
      <c r="H197" s="432"/>
      <c r="I197" s="432"/>
      <c r="J197" s="432"/>
      <c r="K197" s="432"/>
    </row>
    <row r="198" spans="1:11" x14ac:dyDescent="0.3">
      <c r="A198" t="str">
        <f>IF('F2 - Données facturation'!$F$32=0,"Hide","")</f>
        <v>Hide</v>
      </c>
      <c r="B198" s="432"/>
      <c r="C198" s="436" t="s">
        <v>531</v>
      </c>
      <c r="D198" s="432"/>
      <c r="E198" s="432"/>
      <c r="F198" s="432"/>
      <c r="G198" s="432"/>
      <c r="H198" s="432"/>
      <c r="I198" s="432"/>
      <c r="J198" s="432"/>
      <c r="K198" s="432"/>
    </row>
    <row r="199" spans="1:11" x14ac:dyDescent="0.3">
      <c r="A199" t="str">
        <f>IF('F2 - Données facturation'!$F$32=0,"Hide","")</f>
        <v>Hide</v>
      </c>
      <c r="B199" s="432"/>
      <c r="C199" s="432" t="s">
        <v>530</v>
      </c>
      <c r="D199" s="432"/>
      <c r="E199" s="433">
        <f>C193*0.2</f>
        <v>0</v>
      </c>
      <c r="F199" s="432" t="s">
        <v>529</v>
      </c>
      <c r="G199" s="432"/>
      <c r="H199" s="432"/>
      <c r="I199" s="432"/>
      <c r="J199" s="432"/>
      <c r="K199" s="432"/>
    </row>
    <row r="200" spans="1:11" x14ac:dyDescent="0.3">
      <c r="A200" t="str">
        <f>IF('F2 - Données facturation'!$F$32=0,"Hide","")</f>
        <v>Hide</v>
      </c>
      <c r="B200" s="432"/>
      <c r="C200" s="432" t="s">
        <v>528</v>
      </c>
      <c r="D200" s="432"/>
      <c r="E200" s="435">
        <f>E199*40</f>
        <v>0</v>
      </c>
      <c r="F200" s="432" t="s">
        <v>527</v>
      </c>
      <c r="G200" s="432"/>
      <c r="H200" s="432"/>
      <c r="I200" s="432"/>
      <c r="J200" s="432"/>
      <c r="K200" s="432"/>
    </row>
    <row r="201" spans="1:11" x14ac:dyDescent="0.3">
      <c r="A201" t="str">
        <f>IF('F2 - Données facturation'!$F$32=0,"Hide","")</f>
        <v>Hide</v>
      </c>
      <c r="B201" s="432"/>
      <c r="C201" s="432"/>
      <c r="D201" s="432"/>
      <c r="E201" s="432"/>
      <c r="F201" s="432"/>
      <c r="G201" s="432"/>
      <c r="H201" s="432"/>
      <c r="I201" s="432"/>
      <c r="J201" s="432"/>
      <c r="K201" s="432"/>
    </row>
    <row r="202" spans="1:11" x14ac:dyDescent="0.3">
      <c r="A202" t="str">
        <f>IF('F2 - Données facturation'!$F$32=0,"Hide","")</f>
        <v>Hide</v>
      </c>
      <c r="B202" s="432"/>
      <c r="C202" s="432"/>
      <c r="D202" s="432"/>
      <c r="E202" s="432"/>
      <c r="F202" s="432"/>
      <c r="G202" s="432"/>
      <c r="H202" s="432"/>
      <c r="I202" s="432"/>
      <c r="J202" s="432"/>
      <c r="K202" s="432"/>
    </row>
    <row r="203" spans="1:11" x14ac:dyDescent="0.3">
      <c r="A203" t="str">
        <f>IF('F2 - Données facturation'!$F$32=0,"Hide","")</f>
        <v>Hide</v>
      </c>
      <c r="B203" s="432"/>
      <c r="C203" s="432"/>
      <c r="D203" s="432"/>
      <c r="E203" s="432"/>
      <c r="F203" s="432"/>
      <c r="G203" s="432"/>
      <c r="H203" s="432"/>
      <c r="I203" s="432"/>
      <c r="J203" s="432"/>
      <c r="K203" s="432"/>
    </row>
    <row r="204" spans="1:11" x14ac:dyDescent="0.3">
      <c r="A204" t="str">
        <f>IF('F2 - Données facturation'!$F$32=0,"Hide","")</f>
        <v>Hide</v>
      </c>
      <c r="B204" s="432"/>
      <c r="C204" s="432" t="s">
        <v>526</v>
      </c>
      <c r="D204" s="432"/>
      <c r="E204" s="432"/>
      <c r="F204" s="432"/>
      <c r="G204" s="432"/>
      <c r="H204" s="432"/>
      <c r="I204" s="432"/>
      <c r="J204" s="432"/>
      <c r="K204" s="432"/>
    </row>
    <row r="205" spans="1:11" x14ac:dyDescent="0.3">
      <c r="A205" t="str">
        <f>IF('F2 - Données facturation'!$F$32=0,"Hide","")</f>
        <v>Hide</v>
      </c>
      <c r="B205" s="432"/>
      <c r="C205" s="1009" t="s">
        <v>525</v>
      </c>
      <c r="D205" s="1009"/>
      <c r="E205" s="1009"/>
      <c r="F205" s="1009"/>
      <c r="G205" s="1009"/>
      <c r="H205" s="1009"/>
      <c r="I205" s="432"/>
      <c r="J205" s="432"/>
      <c r="K205" s="432"/>
    </row>
    <row r="206" spans="1:11" x14ac:dyDescent="0.3">
      <c r="A206" t="str">
        <f>IF('F2 - Données facturation'!$F$32=0,"Hide","")</f>
        <v>Hide</v>
      </c>
      <c r="B206" s="432"/>
      <c r="C206" s="432"/>
      <c r="D206" s="432"/>
      <c r="E206" s="432"/>
      <c r="F206" s="432"/>
      <c r="G206" s="432"/>
      <c r="H206" s="432"/>
      <c r="I206" s="432"/>
      <c r="J206" s="432"/>
      <c r="K206" s="432"/>
    </row>
    <row r="207" spans="1:11" x14ac:dyDescent="0.3">
      <c r="A207" t="str">
        <f>IF('F2 - Données facturation'!$F$32=0,"Hide","")</f>
        <v>Hide</v>
      </c>
      <c r="B207" s="432"/>
      <c r="C207" s="435" t="s">
        <v>576</v>
      </c>
      <c r="D207" s="432"/>
      <c r="E207" s="432"/>
      <c r="F207" s="432"/>
      <c r="G207" s="432"/>
      <c r="H207" s="432"/>
      <c r="I207" s="432"/>
      <c r="J207" s="432"/>
      <c r="K207" s="432"/>
    </row>
    <row r="208" spans="1:11" x14ac:dyDescent="0.3">
      <c r="A208" t="str">
        <f>IF('F2 - Données facturation'!$F$32=0,"Hide","")</f>
        <v>Hide</v>
      </c>
      <c r="B208" s="432"/>
      <c r="C208" s="433">
        <f>C193-E199</f>
        <v>0</v>
      </c>
      <c r="D208" s="432" t="s">
        <v>523</v>
      </c>
      <c r="E208" s="432"/>
      <c r="F208" s="432"/>
      <c r="G208" s="432"/>
      <c r="H208" s="432"/>
      <c r="I208" s="432"/>
      <c r="J208" s="432"/>
      <c r="K208" s="432"/>
    </row>
    <row r="209" spans="1:11" ht="15" thickBot="1" x14ac:dyDescent="0.35">
      <c r="A209" t="str">
        <f>IF('F2 - Données facturation'!$F$32=0,"Hide","")</f>
        <v>Hide</v>
      </c>
      <c r="B209" s="432"/>
      <c r="C209" s="432"/>
      <c r="D209" s="432"/>
      <c r="E209" s="432"/>
      <c r="F209" s="432"/>
      <c r="G209" s="432"/>
      <c r="H209" s="432"/>
      <c r="I209" s="432"/>
      <c r="J209" s="432"/>
      <c r="K209" s="432"/>
    </row>
    <row r="210" spans="1:11" x14ac:dyDescent="0.3">
      <c r="A210" t="str">
        <f>IF('F2 - Données facturation'!$F$32=0,"Hide","")</f>
        <v>Hide</v>
      </c>
      <c r="B210" s="467" t="s">
        <v>611</v>
      </c>
      <c r="C210" s="274"/>
      <c r="D210" s="466"/>
      <c r="E210" s="466"/>
      <c r="F210" s="465"/>
      <c r="G210" s="432"/>
      <c r="H210" s="432"/>
      <c r="I210" s="432"/>
      <c r="J210" s="432"/>
      <c r="K210" s="432"/>
    </row>
    <row r="211" spans="1:11" x14ac:dyDescent="0.3">
      <c r="A211" t="str">
        <f>IF('F2 - Données facturation'!$F$32=0,"Hide","")</f>
        <v>Hide</v>
      </c>
      <c r="B211" s="212"/>
      <c r="C211" s="464" t="s">
        <v>610</v>
      </c>
      <c r="D211" s="432"/>
      <c r="E211" s="432"/>
      <c r="F211" s="463"/>
      <c r="G211" s="432"/>
      <c r="H211" s="432"/>
      <c r="I211" s="432"/>
      <c r="J211" s="432"/>
      <c r="K211" s="432"/>
    </row>
    <row r="212" spans="1:11" x14ac:dyDescent="0.3">
      <c r="A212" t="str">
        <f>IF('F2 - Données facturation'!$F$32=0,"Hide","")</f>
        <v>Hide</v>
      </c>
      <c r="B212" s="212"/>
      <c r="C212" s="464" t="s">
        <v>609</v>
      </c>
      <c r="D212" s="432"/>
      <c r="E212" s="432"/>
      <c r="F212" s="463"/>
      <c r="G212" s="432"/>
      <c r="H212" s="432"/>
      <c r="I212" s="432"/>
      <c r="J212" s="432"/>
      <c r="K212" s="432"/>
    </row>
    <row r="213" spans="1:11" x14ac:dyDescent="0.3">
      <c r="A213" t="str">
        <f>IF('F2 - Données facturation'!$F$32=0,"Hide","")</f>
        <v>Hide</v>
      </c>
      <c r="B213" s="212"/>
      <c r="C213" s="464" t="s">
        <v>608</v>
      </c>
      <c r="D213" s="432"/>
      <c r="E213" s="432"/>
      <c r="F213" s="463"/>
      <c r="G213" s="432"/>
      <c r="H213" s="432"/>
      <c r="I213" s="432"/>
      <c r="J213" s="432"/>
      <c r="K213" s="432"/>
    </row>
    <row r="214" spans="1:11" x14ac:dyDescent="0.3">
      <c r="A214" t="str">
        <f>IF('F2 - Données facturation'!$F$32=0,"Hide","")</f>
        <v>Hide</v>
      </c>
      <c r="B214" s="212"/>
      <c r="C214" s="464" t="s">
        <v>607</v>
      </c>
      <c r="D214" s="432"/>
      <c r="E214" s="432"/>
      <c r="F214" s="463"/>
      <c r="G214" s="432"/>
      <c r="H214" s="432"/>
      <c r="I214" s="432"/>
      <c r="J214" s="432"/>
      <c r="K214" s="432"/>
    </row>
    <row r="215" spans="1:11" x14ac:dyDescent="0.3">
      <c r="A215" t="str">
        <f>IF('F2 - Données facturation'!$F$32=0,"Hide","")</f>
        <v>Hide</v>
      </c>
      <c r="B215" s="212"/>
      <c r="C215" s="464" t="s">
        <v>606</v>
      </c>
      <c r="D215" s="432"/>
      <c r="E215" s="432"/>
      <c r="F215" s="463"/>
      <c r="G215" s="432"/>
      <c r="H215" s="432"/>
      <c r="I215" s="432"/>
      <c r="J215" s="432"/>
      <c r="K215" s="432"/>
    </row>
    <row r="216" spans="1:11" x14ac:dyDescent="0.3">
      <c r="A216" t="str">
        <f>IF('F2 - Données facturation'!$F$32=0,"Hide","")</f>
        <v>Hide</v>
      </c>
      <c r="B216" s="212"/>
      <c r="C216" s="464" t="s">
        <v>605</v>
      </c>
      <c r="D216" s="432"/>
      <c r="E216" s="432"/>
      <c r="F216" s="463"/>
      <c r="G216" s="432"/>
      <c r="H216" s="432"/>
      <c r="I216" s="432"/>
      <c r="J216" s="432"/>
      <c r="K216" s="432"/>
    </row>
    <row r="217" spans="1:11" ht="15" thickBot="1" x14ac:dyDescent="0.35">
      <c r="A217" t="str">
        <f>IF('F2 - Données facturation'!$F$32=0,"Hide","")</f>
        <v>Hide</v>
      </c>
      <c r="B217" s="407"/>
      <c r="C217" s="462" t="s">
        <v>604</v>
      </c>
      <c r="D217" s="461"/>
      <c r="E217" s="461"/>
      <c r="F217" s="460"/>
      <c r="G217" s="432"/>
      <c r="H217" s="432"/>
      <c r="I217" s="432"/>
      <c r="J217" s="432"/>
      <c r="K217" s="432"/>
    </row>
    <row r="218" spans="1:11" x14ac:dyDescent="0.3">
      <c r="A218" t="str">
        <f>IF('F2 - Données facturation'!$F$32=0,"Hide","")</f>
        <v>Hide</v>
      </c>
      <c r="B218" s="432"/>
      <c r="C218" s="432"/>
      <c r="D218" s="432"/>
      <c r="E218" s="432"/>
      <c r="F218" s="432"/>
      <c r="G218" s="432"/>
      <c r="H218" s="432"/>
      <c r="I218" s="432"/>
      <c r="J218" s="432"/>
      <c r="K218" s="432"/>
    </row>
    <row r="219" spans="1:11" x14ac:dyDescent="0.3">
      <c r="A219" t="str">
        <f>IF('F2 - Données facturation'!$F$32=0,"Hide","")</f>
        <v>Hide</v>
      </c>
      <c r="B219" s="432"/>
      <c r="C219" s="432" t="s">
        <v>603</v>
      </c>
      <c r="D219" s="433">
        <f>C193</f>
        <v>0</v>
      </c>
      <c r="E219" s="432"/>
      <c r="F219" s="432"/>
      <c r="G219" s="432"/>
      <c r="H219" s="432"/>
      <c r="I219" s="432"/>
      <c r="J219" s="432"/>
      <c r="K219" s="432"/>
    </row>
    <row r="220" spans="1:11" ht="18" x14ac:dyDescent="0.35">
      <c r="A220" t="str">
        <f>IF('F2 - Données facturation'!$F$32=0,"Hide","")</f>
        <v>Hide</v>
      </c>
      <c r="B220" s="439" t="s">
        <v>574</v>
      </c>
      <c r="C220" s="433">
        <f>D219*0.16</f>
        <v>0</v>
      </c>
      <c r="D220" s="432" t="s">
        <v>521</v>
      </c>
      <c r="E220" s="432"/>
      <c r="F220" s="432"/>
      <c r="G220" s="432"/>
      <c r="H220" s="432"/>
      <c r="I220" s="432"/>
      <c r="J220" s="432"/>
      <c r="K220" s="432"/>
    </row>
    <row r="221" spans="1:11" x14ac:dyDescent="0.3">
      <c r="A221" t="str">
        <f>IF('F2 - Données facturation'!$F$32=0,"Hide","")</f>
        <v>Hide</v>
      </c>
      <c r="B221" s="432"/>
      <c r="C221" s="432"/>
      <c r="D221" s="432"/>
      <c r="E221" s="432"/>
      <c r="F221" s="432"/>
      <c r="G221" s="432"/>
      <c r="H221" s="432"/>
      <c r="I221" s="432"/>
      <c r="J221" s="432"/>
      <c r="K221" s="432"/>
    </row>
    <row r="222" spans="1:11" ht="15" thickBot="1" x14ac:dyDescent="0.35">
      <c r="A222" t="str">
        <f>IF('F2 - Données facturation'!$F$32=0,"Hide","")</f>
        <v>Hide</v>
      </c>
      <c r="B222" s="432"/>
      <c r="C222" s="432"/>
      <c r="D222" s="432"/>
      <c r="E222" s="432"/>
      <c r="F222" s="432"/>
      <c r="G222" s="432"/>
      <c r="H222" s="432"/>
      <c r="I222" s="432"/>
      <c r="J222" s="432"/>
      <c r="K222" s="432"/>
    </row>
    <row r="223" spans="1:11" ht="15" thickBot="1" x14ac:dyDescent="0.35">
      <c r="A223" t="str">
        <f>IF('F2 - Données facturation'!$F$32=0,"Hide","")</f>
        <v>Hide</v>
      </c>
      <c r="B223" s="1024" t="s">
        <v>641</v>
      </c>
      <c r="C223" s="1025"/>
      <c r="D223" s="1025"/>
      <c r="E223" s="1025"/>
      <c r="F223" s="1026"/>
      <c r="G223" s="432"/>
      <c r="H223" s="432"/>
      <c r="I223" s="432"/>
      <c r="J223" s="432"/>
      <c r="K223" s="432"/>
    </row>
    <row r="224" spans="1:11" x14ac:dyDescent="0.3">
      <c r="A224" t="str">
        <f>IF('F2 - Données facturation'!$F$32=0,"Hide","")</f>
        <v>Hide</v>
      </c>
      <c r="B224" s="432"/>
      <c r="C224" s="432"/>
      <c r="D224" s="432"/>
      <c r="E224" s="432"/>
      <c r="F224" s="432"/>
      <c r="G224" s="432"/>
      <c r="H224" s="432"/>
      <c r="I224" s="432"/>
      <c r="J224" s="432"/>
      <c r="K224" s="432"/>
    </row>
    <row r="225" spans="1:11" x14ac:dyDescent="0.3">
      <c r="A225" t="str">
        <f>IF('F2 - Données facturation'!$F$32=0,"Hide","")</f>
        <v>Hide</v>
      </c>
      <c r="B225" s="432"/>
      <c r="C225" s="432"/>
      <c r="D225" s="432"/>
      <c r="E225" s="432"/>
      <c r="F225" s="432"/>
      <c r="G225" s="432"/>
      <c r="H225" s="432"/>
      <c r="I225" s="432"/>
      <c r="J225" s="432"/>
      <c r="K225" s="432"/>
    </row>
    <row r="226" spans="1:11" x14ac:dyDescent="0.3">
      <c r="A226" t="str">
        <f>IF('F2 - Données facturation'!$F$32=0,"Hide","")</f>
        <v>Hide</v>
      </c>
      <c r="B226" s="432"/>
      <c r="C226" s="434" t="s">
        <v>640</v>
      </c>
      <c r="D226" s="433">
        <f>C193</f>
        <v>0</v>
      </c>
      <c r="E226" s="432"/>
      <c r="F226" s="432"/>
      <c r="G226" s="432"/>
      <c r="H226" s="432"/>
      <c r="I226" s="432"/>
      <c r="J226" s="432"/>
      <c r="K226" s="432"/>
    </row>
    <row r="227" spans="1:11" ht="18" x14ac:dyDescent="0.35">
      <c r="A227" t="str">
        <f>IF('F2 - Données facturation'!$F$32=0,"Hide","")</f>
        <v>Hide</v>
      </c>
      <c r="B227" s="439" t="s">
        <v>574</v>
      </c>
      <c r="C227" s="433">
        <f>D226*0.184</f>
        <v>0</v>
      </c>
      <c r="D227" s="432" t="s">
        <v>518</v>
      </c>
      <c r="E227" s="432"/>
      <c r="F227" s="432"/>
      <c r="G227" s="432"/>
      <c r="H227" s="432"/>
      <c r="I227" s="432"/>
      <c r="J227" s="432"/>
      <c r="K227" s="432"/>
    </row>
    <row r="228" spans="1:11" ht="15" thickBot="1" x14ac:dyDescent="0.35">
      <c r="A228" t="str">
        <f>IF('F2 - Données facturation'!$F$32=0,"Hide","")</f>
        <v>Hide</v>
      </c>
      <c r="B228" s="432"/>
      <c r="C228" s="432"/>
      <c r="D228" s="432"/>
      <c r="E228" s="432"/>
      <c r="F228" s="432"/>
      <c r="G228" s="432"/>
      <c r="H228" s="432"/>
      <c r="I228" s="432"/>
      <c r="J228" s="432"/>
      <c r="K228" s="432"/>
    </row>
    <row r="229" spans="1:11" ht="15" thickBot="1" x14ac:dyDescent="0.35">
      <c r="A229" t="str">
        <f>IF('F2 - Données facturation'!$F$32=0,"Hide","")</f>
        <v>Hide</v>
      </c>
      <c r="B229" s="1024" t="s">
        <v>600</v>
      </c>
      <c r="C229" s="1025"/>
      <c r="D229" s="1025"/>
      <c r="E229" s="1025"/>
      <c r="F229" s="1026"/>
      <c r="G229" s="432"/>
      <c r="H229" s="432"/>
      <c r="I229" s="432"/>
      <c r="J229" s="432"/>
      <c r="K229" s="432"/>
    </row>
    <row r="230" spans="1:11" x14ac:dyDescent="0.3">
      <c r="A230" t="str">
        <f>IF('F2 - Données facturation'!$F$32=0,"Hide","")</f>
        <v>Hide</v>
      </c>
      <c r="B230" s="432"/>
      <c r="C230" s="432"/>
      <c r="D230" s="432"/>
      <c r="E230" s="432"/>
      <c r="F230" s="432"/>
      <c r="G230" s="432"/>
      <c r="H230" s="432"/>
      <c r="I230" s="432"/>
      <c r="J230" s="432"/>
      <c r="K230" s="432"/>
    </row>
    <row r="231" spans="1:11" x14ac:dyDescent="0.3">
      <c r="A231" t="str">
        <f>IF('F2 - Données facturation'!$F$32=0,"Hide","")</f>
        <v>Hide</v>
      </c>
      <c r="B231" s="432"/>
      <c r="C231" s="1018" t="s">
        <v>517</v>
      </c>
      <c r="D231" s="1018"/>
      <c r="E231" s="1018"/>
      <c r="F231" s="433">
        <f>C208</f>
        <v>0</v>
      </c>
      <c r="G231" s="432" t="s">
        <v>56</v>
      </c>
      <c r="H231" s="432"/>
      <c r="I231" s="432"/>
      <c r="J231" s="432"/>
      <c r="K231" s="432"/>
    </row>
    <row r="232" spans="1:11" x14ac:dyDescent="0.3">
      <c r="A232" t="str">
        <f>IF('F2 - Données facturation'!$F$32=0,"Hide","")</f>
        <v>Hide</v>
      </c>
      <c r="B232" s="432"/>
      <c r="C232" s="1018" t="s">
        <v>573</v>
      </c>
      <c r="D232" s="1018"/>
      <c r="E232" s="1018"/>
      <c r="F232" s="433">
        <f>C220</f>
        <v>0</v>
      </c>
      <c r="G232" s="432" t="s">
        <v>56</v>
      </c>
      <c r="H232" s="432"/>
      <c r="I232" s="432"/>
      <c r="J232" s="432"/>
      <c r="K232" s="432"/>
    </row>
    <row r="233" spans="1:11" x14ac:dyDescent="0.3">
      <c r="A233" t="str">
        <f>IF('F2 - Données facturation'!$F$32=0,"Hide","")</f>
        <v>Hide</v>
      </c>
      <c r="B233" s="432"/>
      <c r="C233" s="1018" t="s">
        <v>572</v>
      </c>
      <c r="D233" s="1018"/>
      <c r="E233" s="1018"/>
      <c r="F233" s="433">
        <f>C227</f>
        <v>0</v>
      </c>
      <c r="G233" s="432" t="s">
        <v>56</v>
      </c>
      <c r="H233" s="432"/>
      <c r="I233" s="432"/>
      <c r="J233" s="432"/>
      <c r="K233" s="432"/>
    </row>
    <row r="234" spans="1:11" x14ac:dyDescent="0.3">
      <c r="A234" t="str">
        <f>IF('F2 - Données facturation'!$F$32=0,"Hide","")</f>
        <v>Hide</v>
      </c>
    </row>
    <row r="235" spans="1:11" ht="15.6" x14ac:dyDescent="0.3">
      <c r="A235" t="str">
        <f>IF('F2 - Données facturation'!$F$32=0,"Hide","")</f>
        <v>Hide</v>
      </c>
      <c r="C235" s="1003" t="s">
        <v>514</v>
      </c>
      <c r="D235" s="1002"/>
      <c r="E235" s="1002"/>
      <c r="F235" s="431">
        <f>F231-F232-F233</f>
        <v>0</v>
      </c>
      <c r="G235" t="s">
        <v>56</v>
      </c>
    </row>
    <row r="236" spans="1:11" x14ac:dyDescent="0.3">
      <c r="A236" t="str">
        <f>IF('F2 - Données facturation'!$F$32=0,"Hide","")</f>
        <v>Hide</v>
      </c>
    </row>
    <row r="237" spans="1:11" x14ac:dyDescent="0.3">
      <c r="A237" t="str">
        <f>IF('F2 - Données facturation'!$F$32=0,"Hide","")</f>
        <v>Hide</v>
      </c>
    </row>
    <row r="238" spans="1:11" x14ac:dyDescent="0.3">
      <c r="A238" t="str">
        <f>IF('F2 - Données facturation'!$F$32=0,"Hide","")</f>
        <v>Hide</v>
      </c>
    </row>
    <row r="239" spans="1:11" ht="18" x14ac:dyDescent="0.3">
      <c r="A239" t="str">
        <f>IF('F2 - Données facturation'!$F$32=0,"Hide","")</f>
        <v>Hide</v>
      </c>
      <c r="B239" s="1027" t="s">
        <v>639</v>
      </c>
      <c r="C239" s="1027"/>
    </row>
    <row r="240" spans="1:11" x14ac:dyDescent="0.3">
      <c r="A240" t="str">
        <f>IF('F2 - Données facturation'!$F$32=0,"Hide","")</f>
        <v>Hide</v>
      </c>
    </row>
    <row r="241" spans="1:10" ht="15" customHeight="1" x14ac:dyDescent="0.3">
      <c r="A241" t="str">
        <f>IF('F2 - Données facturation'!$F$32=0,"Hide","")</f>
        <v>Hide</v>
      </c>
      <c r="B241" s="1017" t="s">
        <v>582</v>
      </c>
      <c r="C241" s="1017"/>
      <c r="D241" s="1017"/>
      <c r="E241" s="1017"/>
      <c r="F241" s="1017"/>
      <c r="G241" s="477"/>
      <c r="H241" s="477"/>
    </row>
    <row r="242" spans="1:10" x14ac:dyDescent="0.3">
      <c r="A242" t="str">
        <f>IF('F2 - Données facturation'!$F$32=0,"Hide","")</f>
        <v>Hide</v>
      </c>
      <c r="B242" s="432"/>
      <c r="C242" s="432"/>
      <c r="D242" s="432"/>
      <c r="E242" s="432"/>
      <c r="F242" s="432"/>
      <c r="G242" s="432"/>
      <c r="H242" s="432"/>
      <c r="I242" s="432"/>
      <c r="J242" s="432"/>
    </row>
    <row r="243" spans="1:10" x14ac:dyDescent="0.3">
      <c r="A243" t="str">
        <f>IF('F2 - Données facturation'!$F$32=0,"Hide","")</f>
        <v>Hide</v>
      </c>
      <c r="B243" s="432"/>
      <c r="C243" s="436" t="s">
        <v>638</v>
      </c>
      <c r="D243" s="432"/>
      <c r="E243" s="432"/>
      <c r="F243" s="432"/>
      <c r="G243" s="432"/>
      <c r="H243" s="432"/>
      <c r="I243" s="432"/>
      <c r="J243" s="432"/>
    </row>
    <row r="244" spans="1:10" x14ac:dyDescent="0.3">
      <c r="A244" t="str">
        <f>IF('F2 - Données facturation'!$F$32=0,"Hide","")</f>
        <v>Hide</v>
      </c>
      <c r="B244" s="432"/>
      <c r="C244" s="432"/>
      <c r="D244" s="432"/>
      <c r="E244" s="432"/>
      <c r="F244" s="432"/>
      <c r="G244" s="432"/>
      <c r="H244" s="432"/>
      <c r="I244" s="432"/>
      <c r="J244" s="432"/>
    </row>
    <row r="245" spans="1:10" x14ac:dyDescent="0.3">
      <c r="A245" t="str">
        <f>IF('F2 - Données facturation'!$F$32=0,"Hide","")</f>
        <v>Hide</v>
      </c>
      <c r="B245" s="432"/>
      <c r="C245" s="432" t="s">
        <v>637</v>
      </c>
      <c r="D245" s="432"/>
      <c r="E245" s="433">
        <f>0.8263*E179</f>
        <v>0</v>
      </c>
      <c r="F245" s="432" t="s">
        <v>533</v>
      </c>
      <c r="G245" s="432"/>
      <c r="H245" s="432"/>
      <c r="I245" s="432"/>
      <c r="J245" s="432"/>
    </row>
    <row r="246" spans="1:10" x14ac:dyDescent="0.3">
      <c r="A246" t="str">
        <f>IF('F2 - Données facturation'!$F$32=0,"Hide","")</f>
        <v>Hide</v>
      </c>
      <c r="B246" s="432"/>
      <c r="C246" s="432"/>
      <c r="D246" s="432"/>
      <c r="E246" s="432"/>
      <c r="F246" s="432"/>
      <c r="G246" s="432"/>
      <c r="H246" s="432"/>
      <c r="I246" s="432"/>
      <c r="J246" s="432"/>
    </row>
    <row r="247" spans="1:10" x14ac:dyDescent="0.3">
      <c r="A247" t="str">
        <f>IF('F2 - Données facturation'!$F$32=0,"Hide","")</f>
        <v>Hide</v>
      </c>
      <c r="B247" s="432"/>
      <c r="C247" s="432"/>
      <c r="D247" s="432"/>
      <c r="E247" s="432"/>
      <c r="F247" s="432"/>
      <c r="G247" s="432"/>
      <c r="H247" s="432"/>
      <c r="I247" s="432"/>
      <c r="J247" s="432"/>
    </row>
    <row r="248" spans="1:10" x14ac:dyDescent="0.3">
      <c r="A248" t="str">
        <f>IF('F2 - Données facturation'!$F$32=0,"Hide","")</f>
        <v>Hide</v>
      </c>
      <c r="B248" s="432"/>
      <c r="C248" s="1016" t="s">
        <v>636</v>
      </c>
      <c r="D248" s="1016"/>
      <c r="E248" s="1016"/>
      <c r="F248" s="1016"/>
      <c r="G248" s="1016"/>
      <c r="H248" s="1016"/>
      <c r="I248" s="432"/>
      <c r="J248" s="432"/>
    </row>
    <row r="249" spans="1:10" x14ac:dyDescent="0.3">
      <c r="A249" t="str">
        <f>IF('F2 - Données facturation'!$F$32=0,"Hide","")</f>
        <v>Hide</v>
      </c>
      <c r="B249" s="432"/>
      <c r="C249" s="432"/>
      <c r="D249" s="432"/>
      <c r="E249" s="432"/>
      <c r="F249" s="432"/>
      <c r="G249" s="432"/>
      <c r="H249" s="432"/>
      <c r="I249" s="432"/>
      <c r="J249" s="432"/>
    </row>
    <row r="250" spans="1:10" x14ac:dyDescent="0.3">
      <c r="A250" t="str">
        <f>IF('F2 - Données facturation'!$F$32=0,"Hide","")</f>
        <v>Hide</v>
      </c>
      <c r="B250" s="432"/>
      <c r="C250" s="433">
        <f>E245</f>
        <v>0</v>
      </c>
      <c r="D250" s="438" t="s">
        <v>533</v>
      </c>
      <c r="E250" s="432"/>
      <c r="F250" s="432"/>
      <c r="G250" s="432"/>
      <c r="H250" s="432"/>
      <c r="I250" s="432"/>
      <c r="J250" s="432"/>
    </row>
    <row r="251" spans="1:10" x14ac:dyDescent="0.3">
      <c r="A251" t="str">
        <f>IF('F2 - Données facturation'!$F$32=0,"Hide","")</f>
        <v>Hide</v>
      </c>
      <c r="B251" s="432"/>
      <c r="C251" s="432"/>
      <c r="D251" s="432"/>
      <c r="E251" s="432"/>
      <c r="F251" s="432"/>
      <c r="G251" s="432"/>
      <c r="H251" s="432"/>
      <c r="I251" s="432"/>
      <c r="J251" s="432"/>
    </row>
    <row r="252" spans="1:10" x14ac:dyDescent="0.3">
      <c r="A252" t="str">
        <f>IF('F2 - Données facturation'!$F$32=0,"Hide","")</f>
        <v>Hide</v>
      </c>
      <c r="B252" s="432"/>
      <c r="C252" s="432"/>
      <c r="D252" s="432"/>
      <c r="E252" s="432"/>
      <c r="F252" s="432"/>
      <c r="G252" s="432"/>
      <c r="H252" s="432"/>
      <c r="I252" s="432"/>
      <c r="J252" s="432"/>
    </row>
    <row r="253" spans="1:10" x14ac:dyDescent="0.3">
      <c r="A253" t="str">
        <f>IF('F2 - Données facturation'!$F$32=0,"Hide","")</f>
        <v>Hide</v>
      </c>
      <c r="B253" s="1017" t="s">
        <v>612</v>
      </c>
      <c r="C253" s="1017"/>
      <c r="D253" s="1017"/>
      <c r="E253" s="1017"/>
      <c r="F253" s="1017"/>
      <c r="G253" s="438"/>
      <c r="H253" s="438"/>
      <c r="I253" s="432"/>
      <c r="J253" s="432"/>
    </row>
    <row r="254" spans="1:10" x14ac:dyDescent="0.3">
      <c r="A254" t="str">
        <f>IF('F2 - Données facturation'!$F$32=0,"Hide","")</f>
        <v>Hide</v>
      </c>
      <c r="B254" s="432"/>
      <c r="C254" s="432"/>
      <c r="D254" s="432"/>
      <c r="E254" s="432"/>
      <c r="F254" s="432"/>
      <c r="G254" s="432"/>
      <c r="H254" s="432"/>
      <c r="I254" s="432"/>
      <c r="J254" s="432"/>
    </row>
    <row r="255" spans="1:10" x14ac:dyDescent="0.3">
      <c r="A255" t="str">
        <f>IF('F2 - Données facturation'!$F$32=0,"Hide","")</f>
        <v>Hide</v>
      </c>
      <c r="B255" s="432"/>
      <c r="C255" s="436" t="s">
        <v>531</v>
      </c>
      <c r="D255" s="432"/>
      <c r="E255" s="432"/>
      <c r="F255" s="432"/>
      <c r="G255" s="432"/>
      <c r="H255" s="432"/>
      <c r="I255" s="432"/>
      <c r="J255" s="432"/>
    </row>
    <row r="256" spans="1:10" x14ac:dyDescent="0.3">
      <c r="A256" t="str">
        <f>IF('F2 - Données facturation'!$F$32=0,"Hide","")</f>
        <v>Hide</v>
      </c>
      <c r="B256" s="432"/>
      <c r="C256" s="432" t="s">
        <v>530</v>
      </c>
      <c r="D256" s="432"/>
      <c r="E256" s="433">
        <f>0.2*C250</f>
        <v>0</v>
      </c>
      <c r="F256" s="432" t="s">
        <v>529</v>
      </c>
      <c r="G256" s="432"/>
      <c r="H256" s="432"/>
      <c r="I256" s="432"/>
      <c r="J256" s="432"/>
    </row>
    <row r="257" spans="1:10" x14ac:dyDescent="0.3">
      <c r="A257" t="str">
        <f>IF('F2 - Données facturation'!$F$32=0,"Hide","")</f>
        <v>Hide</v>
      </c>
      <c r="B257" s="432"/>
      <c r="C257" s="432" t="s">
        <v>528</v>
      </c>
      <c r="D257" s="432"/>
      <c r="E257" s="435">
        <f>E256*40</f>
        <v>0</v>
      </c>
      <c r="F257" s="432" t="s">
        <v>527</v>
      </c>
      <c r="G257" s="432"/>
      <c r="H257" s="432"/>
      <c r="I257" s="432"/>
      <c r="J257" s="432"/>
    </row>
    <row r="258" spans="1:10" x14ac:dyDescent="0.3">
      <c r="A258" t="str">
        <f>IF('F2 - Données facturation'!$F$32=0,"Hide","")</f>
        <v>Hide</v>
      </c>
      <c r="B258" s="432"/>
      <c r="C258" s="432"/>
      <c r="D258" s="432"/>
      <c r="E258" s="432"/>
      <c r="F258" s="432"/>
      <c r="G258" s="432"/>
      <c r="H258" s="432"/>
      <c r="I258" s="432"/>
      <c r="J258" s="432"/>
    </row>
    <row r="259" spans="1:10" x14ac:dyDescent="0.3">
      <c r="A259" t="str">
        <f>IF('F2 - Données facturation'!$F$32=0,"Hide","")</f>
        <v>Hide</v>
      </c>
      <c r="B259" s="432"/>
      <c r="C259" s="432"/>
      <c r="D259" s="432"/>
      <c r="E259" s="432"/>
      <c r="F259" s="432"/>
      <c r="G259" s="432"/>
      <c r="H259" s="432"/>
      <c r="I259" s="432"/>
      <c r="J259" s="432"/>
    </row>
    <row r="260" spans="1:10" x14ac:dyDescent="0.3">
      <c r="A260" t="str">
        <f>IF('F2 - Données facturation'!$F$32=0,"Hide","")</f>
        <v>Hide</v>
      </c>
      <c r="B260" s="432"/>
      <c r="C260" s="432"/>
      <c r="D260" s="432"/>
      <c r="E260" s="432"/>
      <c r="F260" s="432"/>
      <c r="G260" s="432"/>
      <c r="H260" s="432"/>
      <c r="I260" s="432"/>
      <c r="J260" s="432"/>
    </row>
    <row r="261" spans="1:10" x14ac:dyDescent="0.3">
      <c r="A261" t="str">
        <f>IF('F2 - Données facturation'!$F$32=0,"Hide","")</f>
        <v>Hide</v>
      </c>
      <c r="B261" s="432"/>
      <c r="C261" s="432" t="s">
        <v>526</v>
      </c>
      <c r="D261" s="432"/>
      <c r="E261" s="432"/>
      <c r="F261" s="432"/>
      <c r="G261" s="432"/>
      <c r="H261" s="432"/>
      <c r="I261" s="432"/>
      <c r="J261" s="432"/>
    </row>
    <row r="262" spans="1:10" x14ac:dyDescent="0.3">
      <c r="A262" t="str">
        <f>IF('F2 - Données facturation'!$F$32=0,"Hide","")</f>
        <v>Hide</v>
      </c>
      <c r="B262" s="432"/>
      <c r="C262" s="1009" t="s">
        <v>525</v>
      </c>
      <c r="D262" s="1009"/>
      <c r="E262" s="1009"/>
      <c r="F262" s="1009"/>
      <c r="G262" s="1009"/>
      <c r="H262" s="1009"/>
      <c r="I262" s="432"/>
      <c r="J262" s="432"/>
    </row>
    <row r="263" spans="1:10" x14ac:dyDescent="0.3">
      <c r="A263" t="str">
        <f>IF('F2 - Données facturation'!$F$32=0,"Hide","")</f>
        <v>Hide</v>
      </c>
      <c r="B263" s="432"/>
      <c r="C263" s="432"/>
      <c r="D263" s="432"/>
      <c r="E263" s="432"/>
      <c r="F263" s="432"/>
      <c r="G263" s="432"/>
      <c r="H263" s="432"/>
      <c r="I263" s="432"/>
      <c r="J263" s="432"/>
    </row>
    <row r="264" spans="1:10" x14ac:dyDescent="0.3">
      <c r="A264" t="str">
        <f>IF('F2 - Données facturation'!$F$32=0,"Hide","")</f>
        <v>Hide</v>
      </c>
      <c r="B264" s="432"/>
      <c r="C264" s="435" t="s">
        <v>559</v>
      </c>
      <c r="D264" s="432"/>
      <c r="E264" s="432"/>
      <c r="F264" s="432"/>
      <c r="G264" s="432"/>
      <c r="H264" s="432"/>
      <c r="I264" s="432"/>
      <c r="J264" s="432"/>
    </row>
    <row r="265" spans="1:10" x14ac:dyDescent="0.3">
      <c r="A265" t="str">
        <f>IF('F2 - Données facturation'!$F$32=0,"Hide","")</f>
        <v>Hide</v>
      </c>
      <c r="B265" s="432"/>
      <c r="C265" s="433">
        <f>C250-E256</f>
        <v>0</v>
      </c>
      <c r="D265" s="432" t="s">
        <v>523</v>
      </c>
      <c r="E265" s="432"/>
      <c r="F265" s="432"/>
      <c r="G265" s="432"/>
      <c r="H265" s="432"/>
      <c r="I265" s="432"/>
      <c r="J265" s="432"/>
    </row>
    <row r="266" spans="1:10" ht="15" thickBot="1" x14ac:dyDescent="0.35">
      <c r="A266" t="str">
        <f>IF('F2 - Données facturation'!$F$32=0,"Hide","")</f>
        <v>Hide</v>
      </c>
      <c r="B266" s="432"/>
      <c r="C266" s="432"/>
      <c r="D266" s="432"/>
      <c r="E266" s="432"/>
      <c r="F266" s="432"/>
      <c r="G266" s="432"/>
      <c r="H266" s="432"/>
      <c r="I266" s="432"/>
      <c r="J266" s="432"/>
    </row>
    <row r="267" spans="1:10" x14ac:dyDescent="0.3">
      <c r="A267" t="str">
        <f>IF('F2 - Données facturation'!$F$32=0,"Hide","")</f>
        <v>Hide</v>
      </c>
      <c r="B267" s="467" t="s">
        <v>611</v>
      </c>
      <c r="C267" s="274"/>
      <c r="D267" s="466"/>
      <c r="E267" s="466"/>
      <c r="F267" s="465"/>
      <c r="G267" s="432"/>
      <c r="H267" s="432"/>
      <c r="I267" s="432"/>
      <c r="J267" s="432"/>
    </row>
    <row r="268" spans="1:10" x14ac:dyDescent="0.3">
      <c r="A268" t="str">
        <f>IF('F2 - Données facturation'!$F$32=0,"Hide","")</f>
        <v>Hide</v>
      </c>
      <c r="B268" s="212"/>
      <c r="C268" s="464" t="s">
        <v>610</v>
      </c>
      <c r="D268" s="432"/>
      <c r="E268" s="432"/>
      <c r="F268" s="463"/>
      <c r="G268" s="432"/>
      <c r="H268" s="432"/>
      <c r="I268" s="432"/>
      <c r="J268" s="432"/>
    </row>
    <row r="269" spans="1:10" x14ac:dyDescent="0.3">
      <c r="A269" t="str">
        <f>IF('F2 - Données facturation'!$F$32=0,"Hide","")</f>
        <v>Hide</v>
      </c>
      <c r="B269" s="212"/>
      <c r="C269" s="464" t="s">
        <v>609</v>
      </c>
      <c r="D269" s="432"/>
      <c r="E269" s="432"/>
      <c r="F269" s="463"/>
      <c r="G269" s="432"/>
      <c r="H269" s="432"/>
      <c r="I269" s="432"/>
      <c r="J269" s="432"/>
    </row>
    <row r="270" spans="1:10" x14ac:dyDescent="0.3">
      <c r="A270" t="str">
        <f>IF('F2 - Données facturation'!$F$32=0,"Hide","")</f>
        <v>Hide</v>
      </c>
      <c r="B270" s="212"/>
      <c r="C270" s="464" t="s">
        <v>608</v>
      </c>
      <c r="D270" s="432"/>
      <c r="E270" s="432"/>
      <c r="F270" s="463"/>
      <c r="G270" s="432"/>
      <c r="H270" s="432"/>
      <c r="I270" s="432"/>
      <c r="J270" s="432"/>
    </row>
    <row r="271" spans="1:10" x14ac:dyDescent="0.3">
      <c r="A271" t="str">
        <f>IF('F2 - Données facturation'!$F$32=0,"Hide","")</f>
        <v>Hide</v>
      </c>
      <c r="B271" s="212"/>
      <c r="C271" s="464" t="s">
        <v>607</v>
      </c>
      <c r="D271" s="432"/>
      <c r="E271" s="432"/>
      <c r="F271" s="463"/>
      <c r="G271" s="432"/>
      <c r="H271" s="432"/>
      <c r="I271" s="432"/>
      <c r="J271" s="432"/>
    </row>
    <row r="272" spans="1:10" x14ac:dyDescent="0.3">
      <c r="A272" t="str">
        <f>IF('F2 - Données facturation'!$F$32=0,"Hide","")</f>
        <v>Hide</v>
      </c>
      <c r="B272" s="212"/>
      <c r="C272" s="464" t="s">
        <v>606</v>
      </c>
      <c r="D272" s="432"/>
      <c r="E272" s="432"/>
      <c r="F272" s="463"/>
      <c r="G272" s="432"/>
      <c r="H272" s="432"/>
      <c r="I272" s="432"/>
      <c r="J272" s="432"/>
    </row>
    <row r="273" spans="1:10" x14ac:dyDescent="0.3">
      <c r="A273" t="str">
        <f>IF('F2 - Données facturation'!$F$32=0,"Hide","")</f>
        <v>Hide</v>
      </c>
      <c r="B273" s="212"/>
      <c r="C273" s="464" t="s">
        <v>605</v>
      </c>
      <c r="D273" s="432"/>
      <c r="E273" s="432"/>
      <c r="F273" s="463"/>
      <c r="G273" s="432"/>
      <c r="H273" s="432"/>
      <c r="I273" s="432"/>
      <c r="J273" s="432"/>
    </row>
    <row r="274" spans="1:10" ht="15" thickBot="1" x14ac:dyDescent="0.35">
      <c r="A274" t="str">
        <f>IF('F2 - Données facturation'!$F$32=0,"Hide","")</f>
        <v>Hide</v>
      </c>
      <c r="B274" s="407"/>
      <c r="C274" s="462" t="s">
        <v>604</v>
      </c>
      <c r="D274" s="461"/>
      <c r="E274" s="461"/>
      <c r="F274" s="460"/>
      <c r="G274" s="432"/>
      <c r="H274" s="432"/>
      <c r="I274" s="432"/>
      <c r="J274" s="432"/>
    </row>
    <row r="275" spans="1:10" x14ac:dyDescent="0.3">
      <c r="A275" t="str">
        <f>IF('F2 - Données facturation'!$F$32=0,"Hide","")</f>
        <v>Hide</v>
      </c>
      <c r="B275" s="432"/>
      <c r="C275" s="432"/>
      <c r="D275" s="432"/>
      <c r="E275" s="432"/>
      <c r="F275" s="432"/>
      <c r="G275" s="432"/>
      <c r="H275" s="432"/>
      <c r="I275" s="432"/>
      <c r="J275" s="432"/>
    </row>
    <row r="276" spans="1:10" x14ac:dyDescent="0.3">
      <c r="A276" t="str">
        <f>IF('F2 - Données facturation'!$F$32=0,"Hide","")</f>
        <v>Hide</v>
      </c>
      <c r="B276" s="432"/>
      <c r="C276" s="432" t="s">
        <v>603</v>
      </c>
      <c r="D276" s="433">
        <f>C250</f>
        <v>0</v>
      </c>
      <c r="E276" s="432"/>
      <c r="F276" s="432"/>
      <c r="G276" s="432"/>
      <c r="H276" s="432"/>
      <c r="I276" s="432"/>
      <c r="J276" s="432"/>
    </row>
    <row r="277" spans="1:10" x14ac:dyDescent="0.3">
      <c r="A277" t="str">
        <f>IF('F2 - Données facturation'!$F$32=0,"Hide","")</f>
        <v>Hide</v>
      </c>
      <c r="B277" s="432"/>
      <c r="C277" s="433">
        <f>D276*0.16</f>
        <v>0</v>
      </c>
      <c r="D277" s="432" t="s">
        <v>521</v>
      </c>
      <c r="E277" s="432"/>
      <c r="F277" s="432"/>
      <c r="G277" s="432"/>
      <c r="H277" s="432"/>
      <c r="I277" s="432"/>
      <c r="J277" s="432"/>
    </row>
    <row r="278" spans="1:10" ht="15" thickBot="1" x14ac:dyDescent="0.35">
      <c r="A278" t="str">
        <f>IF('F2 - Données facturation'!$F$32=0,"Hide","")</f>
        <v>Hide</v>
      </c>
      <c r="B278" s="432"/>
      <c r="C278" s="432"/>
      <c r="D278" s="432"/>
      <c r="E278" s="432"/>
      <c r="F278" s="432"/>
      <c r="G278" s="432"/>
      <c r="H278" s="432"/>
      <c r="I278" s="432"/>
      <c r="J278" s="432"/>
    </row>
    <row r="279" spans="1:10" ht="15" thickBot="1" x14ac:dyDescent="0.35">
      <c r="A279" t="str">
        <f>IF('F2 - Données facturation'!$F$32=0,"Hide","")</f>
        <v>Hide</v>
      </c>
      <c r="B279" s="1024" t="s">
        <v>635</v>
      </c>
      <c r="C279" s="1025"/>
      <c r="D279" s="1025"/>
      <c r="E279" s="1025"/>
      <c r="F279" s="1026"/>
      <c r="G279" s="432"/>
      <c r="H279" s="432"/>
      <c r="I279" s="432"/>
      <c r="J279" s="432"/>
    </row>
    <row r="280" spans="1:10" x14ac:dyDescent="0.3">
      <c r="A280" t="str">
        <f>IF('F2 - Données facturation'!$F$32=0,"Hide","")</f>
        <v>Hide</v>
      </c>
      <c r="B280" s="432"/>
      <c r="C280" s="432"/>
      <c r="D280" s="432"/>
      <c r="E280" s="432"/>
      <c r="F280" s="432"/>
      <c r="G280" s="432"/>
      <c r="H280" s="432"/>
      <c r="I280" s="432"/>
      <c r="J280" s="432"/>
    </row>
    <row r="281" spans="1:10" x14ac:dyDescent="0.3">
      <c r="A281" t="str">
        <f>IF('F2 - Données facturation'!$F$32=0,"Hide","")</f>
        <v>Hide</v>
      </c>
      <c r="B281" s="432"/>
      <c r="C281" s="432"/>
      <c r="D281" s="432"/>
      <c r="E281" s="432"/>
      <c r="F281" s="432"/>
      <c r="G281" s="432"/>
      <c r="H281" s="432"/>
      <c r="I281" s="432"/>
      <c r="J281" s="432"/>
    </row>
    <row r="282" spans="1:10" x14ac:dyDescent="0.3">
      <c r="A282" t="str">
        <f>IF('F2 - Données facturation'!$F$32=0,"Hide","")</f>
        <v>Hide</v>
      </c>
      <c r="B282" s="432"/>
      <c r="C282" s="434" t="s">
        <v>634</v>
      </c>
      <c r="D282" s="433">
        <f>C250</f>
        <v>0</v>
      </c>
      <c r="E282" s="432"/>
      <c r="F282" s="432"/>
      <c r="G282" s="432"/>
      <c r="H282" s="432"/>
      <c r="I282" s="432"/>
      <c r="J282" s="432"/>
    </row>
    <row r="283" spans="1:10" x14ac:dyDescent="0.3">
      <c r="A283" t="str">
        <f>IF('F2 - Données facturation'!$F$32=0,"Hide","")</f>
        <v>Hide</v>
      </c>
      <c r="B283" s="432"/>
      <c r="C283" s="433">
        <f>D282*0.24</f>
        <v>0</v>
      </c>
      <c r="D283" s="432" t="s">
        <v>518</v>
      </c>
      <c r="E283" s="432"/>
      <c r="F283" s="432"/>
      <c r="G283" s="432"/>
      <c r="H283" s="432"/>
      <c r="I283" s="432"/>
      <c r="J283" s="432"/>
    </row>
    <row r="284" spans="1:10" ht="15" thickBot="1" x14ac:dyDescent="0.35">
      <c r="A284" t="str">
        <f>IF('F2 - Données facturation'!$F$32=0,"Hide","")</f>
        <v>Hide</v>
      </c>
      <c r="B284" s="432"/>
      <c r="C284" s="432"/>
      <c r="D284" s="432"/>
      <c r="E284" s="432"/>
      <c r="F284" s="432"/>
      <c r="G284" s="432"/>
      <c r="H284" s="432"/>
      <c r="I284" s="432"/>
      <c r="J284" s="432"/>
    </row>
    <row r="285" spans="1:10" ht="15" thickBot="1" x14ac:dyDescent="0.35">
      <c r="A285" t="str">
        <f>IF('F2 - Données facturation'!$F$32=0,"Hide","")</f>
        <v>Hide</v>
      </c>
      <c r="B285" s="1024" t="s">
        <v>633</v>
      </c>
      <c r="C285" s="1025"/>
      <c r="D285" s="1025"/>
      <c r="E285" s="1025"/>
      <c r="F285" s="1026"/>
      <c r="G285" s="432"/>
      <c r="H285" s="432"/>
      <c r="I285" s="432"/>
      <c r="J285" s="432"/>
    </row>
    <row r="286" spans="1:10" x14ac:dyDescent="0.3">
      <c r="A286" t="str">
        <f>IF('F2 - Données facturation'!$F$32=0,"Hide","")</f>
        <v>Hide</v>
      </c>
      <c r="B286" s="432"/>
      <c r="C286" s="432"/>
      <c r="D286" s="432"/>
      <c r="E286" s="432"/>
      <c r="F286" s="432"/>
      <c r="G286" s="432"/>
      <c r="H286" s="432"/>
      <c r="I286" s="432"/>
      <c r="J286" s="432"/>
    </row>
    <row r="287" spans="1:10" x14ac:dyDescent="0.3">
      <c r="A287" t="str">
        <f>IF('F2 - Données facturation'!$F$32=0,"Hide","")</f>
        <v>Hide</v>
      </c>
      <c r="B287" s="432"/>
      <c r="C287" s="432"/>
      <c r="D287" s="432"/>
      <c r="E287" s="432"/>
      <c r="F287" s="432"/>
      <c r="G287" s="432"/>
      <c r="H287" s="432"/>
      <c r="I287" s="432"/>
      <c r="J287" s="432"/>
    </row>
    <row r="288" spans="1:10" x14ac:dyDescent="0.3">
      <c r="A288" t="str">
        <f>IF('F2 - Données facturation'!$F$32=0,"Hide","")</f>
        <v>Hide</v>
      </c>
      <c r="B288" s="432"/>
      <c r="C288" s="476" t="s">
        <v>632</v>
      </c>
      <c r="D288" s="433">
        <f>C265</f>
        <v>0</v>
      </c>
      <c r="E288" s="432" t="s">
        <v>631</v>
      </c>
      <c r="F288" s="432"/>
      <c r="G288" s="432"/>
      <c r="H288" s="432"/>
      <c r="I288" s="432"/>
      <c r="J288" s="432"/>
    </row>
    <row r="289" spans="1:10" x14ac:dyDescent="0.3">
      <c r="A289" t="str">
        <f>IF('F2 - Données facturation'!$F$32=0,"Hide","")</f>
        <v>Hide</v>
      </c>
      <c r="B289" s="432"/>
      <c r="C289" s="433">
        <f>D288*0.03</f>
        <v>0</v>
      </c>
      <c r="D289" s="432" t="s">
        <v>630</v>
      </c>
      <c r="E289" s="432"/>
      <c r="F289" s="432"/>
      <c r="G289" s="432"/>
      <c r="H289" s="432"/>
      <c r="I289" s="432"/>
      <c r="J289" s="432"/>
    </row>
    <row r="290" spans="1:10" ht="15" thickBot="1" x14ac:dyDescent="0.35">
      <c r="A290" t="str">
        <f>IF('F2 - Données facturation'!$F$32=0,"Hide","")</f>
        <v>Hide</v>
      </c>
      <c r="B290" s="432"/>
      <c r="C290" s="432"/>
      <c r="D290" s="432"/>
      <c r="E290" s="432"/>
      <c r="F290" s="432"/>
      <c r="G290" s="432"/>
      <c r="H290" s="432"/>
      <c r="I290" s="432"/>
      <c r="J290" s="432"/>
    </row>
    <row r="291" spans="1:10" ht="15" thickBot="1" x14ac:dyDescent="0.35">
      <c r="A291" t="str">
        <f>IF('F2 - Données facturation'!$F$32=0,"Hide","")</f>
        <v>Hide</v>
      </c>
      <c r="B291" s="1024" t="s">
        <v>600</v>
      </c>
      <c r="C291" s="1025"/>
      <c r="D291" s="1025"/>
      <c r="E291" s="1025"/>
      <c r="F291" s="1026"/>
      <c r="G291" s="432"/>
      <c r="H291" s="432"/>
      <c r="I291" s="432"/>
      <c r="J291" s="432"/>
    </row>
    <row r="292" spans="1:10" x14ac:dyDescent="0.3">
      <c r="A292" t="str">
        <f>IF('F2 - Données facturation'!$F$32=0,"Hide","")</f>
        <v>Hide</v>
      </c>
      <c r="B292" s="432"/>
      <c r="C292" s="432"/>
      <c r="D292" s="432"/>
      <c r="E292" s="432"/>
      <c r="F292" s="432"/>
      <c r="G292" s="432"/>
      <c r="H292" s="432"/>
      <c r="I292" s="432"/>
      <c r="J292" s="432"/>
    </row>
    <row r="293" spans="1:10" x14ac:dyDescent="0.3">
      <c r="A293" t="str">
        <f>IF('F2 - Données facturation'!$F$32=0,"Hide","")</f>
        <v>Hide</v>
      </c>
      <c r="B293" s="432"/>
      <c r="C293" s="1018" t="s">
        <v>517</v>
      </c>
      <c r="D293" s="1018"/>
      <c r="E293" s="1018"/>
      <c r="F293" s="433">
        <f>C265</f>
        <v>0</v>
      </c>
      <c r="G293" s="432" t="s">
        <v>56</v>
      </c>
      <c r="H293" s="432"/>
      <c r="I293" s="432"/>
      <c r="J293" s="432"/>
    </row>
    <row r="294" spans="1:10" x14ac:dyDescent="0.3">
      <c r="A294" t="str">
        <f>IF('F2 - Données facturation'!$F$32=0,"Hide","")</f>
        <v>Hide</v>
      </c>
      <c r="B294" s="432"/>
      <c r="C294" s="1018" t="s">
        <v>573</v>
      </c>
      <c r="D294" s="1018"/>
      <c r="E294" s="1018"/>
      <c r="F294" s="433">
        <f>C277</f>
        <v>0</v>
      </c>
      <c r="G294" s="432" t="s">
        <v>56</v>
      </c>
      <c r="H294" s="432"/>
      <c r="I294" s="432"/>
      <c r="J294" s="432"/>
    </row>
    <row r="295" spans="1:10" x14ac:dyDescent="0.3">
      <c r="A295" t="str">
        <f>IF('F2 - Données facturation'!$F$32=0,"Hide","")</f>
        <v>Hide</v>
      </c>
      <c r="B295" s="432"/>
      <c r="C295" s="1018" t="s">
        <v>572</v>
      </c>
      <c r="D295" s="1018"/>
      <c r="E295" s="1018"/>
      <c r="F295" s="433">
        <f>C283</f>
        <v>0</v>
      </c>
      <c r="G295" s="432" t="s">
        <v>56</v>
      </c>
      <c r="H295" s="432"/>
      <c r="I295" s="432"/>
      <c r="J295" s="432"/>
    </row>
    <row r="296" spans="1:10" x14ac:dyDescent="0.3">
      <c r="A296" t="str">
        <f>IF('F2 - Données facturation'!$F$32=0,"Hide","")</f>
        <v>Hide</v>
      </c>
      <c r="B296" s="432"/>
      <c r="C296" s="1011" t="s">
        <v>629</v>
      </c>
      <c r="D296" s="1011"/>
      <c r="E296" s="1011"/>
      <c r="F296" s="433">
        <f>C289</f>
        <v>0</v>
      </c>
      <c r="G296" s="432" t="s">
        <v>56</v>
      </c>
      <c r="H296" s="432"/>
      <c r="I296" s="432"/>
      <c r="J296" s="432"/>
    </row>
    <row r="297" spans="1:10" x14ac:dyDescent="0.3">
      <c r="A297" t="str">
        <f>IF('F2 - Données facturation'!$F$32=0,"Hide","")</f>
        <v>Hide</v>
      </c>
      <c r="B297" s="432"/>
      <c r="C297" s="432"/>
      <c r="D297" s="432"/>
      <c r="E297" s="432"/>
      <c r="F297" s="432"/>
      <c r="G297" s="432"/>
      <c r="H297" s="432"/>
      <c r="I297" s="432"/>
      <c r="J297" s="432"/>
    </row>
    <row r="298" spans="1:10" ht="15.6" x14ac:dyDescent="0.3">
      <c r="A298" t="str">
        <f>IF('F2 - Données facturation'!$F$32=0,"Hide","")</f>
        <v>Hide</v>
      </c>
      <c r="B298" s="432"/>
      <c r="C298" s="1019" t="s">
        <v>571</v>
      </c>
      <c r="D298" s="1018"/>
      <c r="E298" s="1018"/>
      <c r="F298" s="433">
        <f>F293-F294-F295</f>
        <v>0</v>
      </c>
      <c r="G298" s="432" t="s">
        <v>56</v>
      </c>
      <c r="H298" s="432"/>
      <c r="I298" s="432"/>
      <c r="J298" s="432"/>
    </row>
    <row r="299" spans="1:10" x14ac:dyDescent="0.3">
      <c r="A299" t="str">
        <f>IF('F2 - Données facturation'!$F$32=0,"Hide","")</f>
        <v>Hide</v>
      </c>
      <c r="B299" s="432"/>
      <c r="C299" s="475"/>
      <c r="D299" s="474"/>
      <c r="E299" s="474"/>
      <c r="F299" s="473"/>
      <c r="G299" s="432"/>
      <c r="H299" s="432"/>
      <c r="I299" s="432"/>
      <c r="J299" s="432"/>
    </row>
    <row r="300" spans="1:10" x14ac:dyDescent="0.3">
      <c r="A300" t="str">
        <f>IF('F2 - Données facturation'!$F$32=0,"Hide","")</f>
        <v>Hide</v>
      </c>
      <c r="B300" s="432"/>
      <c r="C300" s="432"/>
      <c r="D300" s="432"/>
      <c r="E300" s="432"/>
      <c r="F300" s="432"/>
      <c r="G300" s="432"/>
      <c r="H300" s="432"/>
      <c r="I300" s="432"/>
      <c r="J300" s="432"/>
    </row>
    <row r="301" spans="1:10" x14ac:dyDescent="0.3">
      <c r="A301" t="str">
        <f>IF('F2 - Données facturation'!$F$32=0,"Hide","")</f>
        <v>Hide</v>
      </c>
      <c r="B301" s="432"/>
      <c r="C301" s="432"/>
      <c r="D301" s="432"/>
      <c r="E301" s="432"/>
      <c r="F301" s="432"/>
      <c r="G301" s="432"/>
      <c r="H301" s="432"/>
      <c r="I301" s="432"/>
      <c r="J301" s="432"/>
    </row>
    <row r="302" spans="1:10" x14ac:dyDescent="0.3">
      <c r="A302" t="str">
        <f>IF('F2 - Données facturation'!$F$32=0,"Hide","")</f>
        <v>Hide</v>
      </c>
      <c r="B302" s="432"/>
      <c r="C302" s="432"/>
      <c r="D302" s="432"/>
      <c r="E302" s="432"/>
      <c r="F302" s="432"/>
      <c r="G302" s="432"/>
      <c r="H302" s="432"/>
      <c r="I302" s="432"/>
      <c r="J302" s="432"/>
    </row>
    <row r="303" spans="1:10" ht="18" x14ac:dyDescent="0.3">
      <c r="A303" t="str">
        <f>IF('F2 - Données facturation'!$H$32+'F2 - Données facturation'!$M$32=0,"Hide","")</f>
        <v>Hide</v>
      </c>
      <c r="B303" s="1027" t="s">
        <v>628</v>
      </c>
      <c r="C303" s="1027"/>
      <c r="D303" s="432"/>
      <c r="E303" s="432"/>
      <c r="F303" s="432"/>
      <c r="G303" s="432"/>
      <c r="H303" s="432"/>
      <c r="I303" s="432"/>
      <c r="J303" s="432"/>
    </row>
    <row r="304" spans="1:10" x14ac:dyDescent="0.3">
      <c r="A304" t="str">
        <f>IF('F2 - Données facturation'!$H$32+'F2 - Données facturation'!$M$32=0,"Hide","")</f>
        <v>Hide</v>
      </c>
      <c r="B304" s="432"/>
      <c r="C304" s="432"/>
      <c r="D304" s="432"/>
      <c r="E304" s="432"/>
      <c r="F304" s="432"/>
      <c r="G304" s="432"/>
      <c r="H304" s="432"/>
      <c r="I304" s="432"/>
      <c r="J304" s="432"/>
    </row>
    <row r="305" spans="1:10" x14ac:dyDescent="0.3">
      <c r="A305" t="str">
        <f>IF('F2 - Données facturation'!$H$32+'F2 - Données facturation'!$M$32=0,"Hide","")</f>
        <v>Hide</v>
      </c>
      <c r="B305" s="1017" t="s">
        <v>582</v>
      </c>
      <c r="C305" s="1017"/>
      <c r="D305" s="1017"/>
      <c r="E305" s="1017"/>
      <c r="F305" s="1017"/>
      <c r="G305" s="432"/>
      <c r="H305" s="472"/>
      <c r="I305" s="471"/>
      <c r="J305" s="432"/>
    </row>
    <row r="306" spans="1:10" x14ac:dyDescent="0.3">
      <c r="A306" t="str">
        <f>IF('F2 - Données facturation'!$H$32+'F2 - Données facturation'!$M$32=0,"Hide","")</f>
        <v>Hide</v>
      </c>
      <c r="B306" s="432"/>
      <c r="C306" s="432"/>
      <c r="D306" s="432"/>
      <c r="E306" s="432"/>
      <c r="F306" s="432"/>
      <c r="G306" s="432"/>
      <c r="H306" s="432"/>
      <c r="I306" s="432"/>
      <c r="J306" s="432"/>
    </row>
    <row r="307" spans="1:10" x14ac:dyDescent="0.3">
      <c r="A307" t="str">
        <f>IF('F2 - Données facturation'!$H$32+'F2 - Données facturation'!$M$32=0,"Hide","")</f>
        <v>Hide</v>
      </c>
      <c r="B307" s="432"/>
      <c r="C307" s="432" t="s">
        <v>627</v>
      </c>
      <c r="D307" s="432"/>
      <c r="E307" s="432"/>
      <c r="F307" s="432"/>
      <c r="G307" s="432"/>
      <c r="H307" s="432"/>
      <c r="I307" s="432"/>
      <c r="J307" s="432"/>
    </row>
    <row r="308" spans="1:10" x14ac:dyDescent="0.3">
      <c r="A308" t="str">
        <f>IF('F2 - Données facturation'!$H$32+'F2 - Données facturation'!$M$32=0,"Hide","")</f>
        <v>Hide</v>
      </c>
      <c r="B308" s="432"/>
      <c r="C308" s="432"/>
      <c r="D308" s="432"/>
      <c r="E308" s="432"/>
      <c r="F308" s="432"/>
      <c r="G308" s="432"/>
      <c r="H308" s="432"/>
      <c r="I308" s="432"/>
      <c r="J308" s="432"/>
    </row>
    <row r="309" spans="1:10" x14ac:dyDescent="0.3">
      <c r="A309" t="str">
        <f>IF('F2 - Données facturation'!$H$32+'F2 - Données facturation'!$M$32=0,"Hide","")</f>
        <v>Hide</v>
      </c>
      <c r="B309" s="432"/>
      <c r="C309" s="432" t="s">
        <v>626</v>
      </c>
      <c r="D309" s="432"/>
      <c r="E309" s="433">
        <f>1.22*G179</f>
        <v>0</v>
      </c>
      <c r="F309" s="432" t="s">
        <v>533</v>
      </c>
      <c r="G309" s="432"/>
      <c r="H309" s="432"/>
      <c r="I309" s="432"/>
      <c r="J309" s="432"/>
    </row>
    <row r="310" spans="1:10" x14ac:dyDescent="0.3">
      <c r="A310" t="str">
        <f>IF('F2 - Données facturation'!$H$32+'F2 - Données facturation'!$M$32=0,"Hide","")</f>
        <v>Hide</v>
      </c>
      <c r="B310" s="432"/>
      <c r="C310" s="432"/>
      <c r="D310" s="432"/>
      <c r="E310" s="432"/>
      <c r="F310" s="432"/>
      <c r="G310" s="432"/>
      <c r="H310" s="470"/>
      <c r="I310" s="432"/>
      <c r="J310" s="432"/>
    </row>
    <row r="311" spans="1:10" x14ac:dyDescent="0.3">
      <c r="A311" t="str">
        <f>IF('F2 - Données facturation'!$H$32+'F2 - Données facturation'!$M$32=0,"Hide","")</f>
        <v>Hide</v>
      </c>
      <c r="B311" s="432"/>
      <c r="C311" s="1028" t="s">
        <v>625</v>
      </c>
      <c r="D311" s="1028"/>
      <c r="E311" s="1028"/>
      <c r="F311" s="1028"/>
      <c r="G311" s="1028"/>
      <c r="H311" s="1028"/>
      <c r="I311" s="1028"/>
      <c r="J311" s="432"/>
    </row>
    <row r="312" spans="1:10" x14ac:dyDescent="0.3">
      <c r="A312" t="str">
        <f>IF('F2 - Données facturation'!$H$32+'F2 - Données facturation'!$M$32=0,"Hide","")</f>
        <v>Hide</v>
      </c>
      <c r="B312" s="432"/>
      <c r="C312" s="432"/>
      <c r="D312" s="432"/>
      <c r="E312" s="432"/>
      <c r="F312" s="432"/>
      <c r="G312" s="432"/>
      <c r="H312" s="432"/>
      <c r="I312" s="432"/>
      <c r="J312" s="432"/>
    </row>
    <row r="313" spans="1:10" x14ac:dyDescent="0.3">
      <c r="A313" t="str">
        <f>IF('F2 - Données facturation'!$H$32+'F2 - Données facturation'!$M$32=0,"Hide","")</f>
        <v>Hide</v>
      </c>
      <c r="B313" s="432"/>
      <c r="C313" s="433">
        <f>E309</f>
        <v>0</v>
      </c>
      <c r="D313" s="438" t="s">
        <v>533</v>
      </c>
      <c r="E313" s="432"/>
      <c r="F313" s="432"/>
      <c r="G313" s="432"/>
      <c r="H313" s="432"/>
      <c r="I313" s="432"/>
      <c r="J313" s="432"/>
    </row>
    <row r="314" spans="1:10" x14ac:dyDescent="0.3">
      <c r="A314" t="str">
        <f>IF('F2 - Données facturation'!$H$32+'F2 - Données facturation'!$M$32=0,"Hide","")</f>
        <v>Hide</v>
      </c>
      <c r="B314" s="432"/>
      <c r="C314" s="432"/>
      <c r="D314" s="432"/>
      <c r="E314" s="432"/>
      <c r="F314" s="432"/>
      <c r="G314" s="432"/>
      <c r="H314" s="432"/>
      <c r="I314" s="432"/>
      <c r="J314" s="432"/>
    </row>
    <row r="315" spans="1:10" x14ac:dyDescent="0.3">
      <c r="A315" t="str">
        <f>IF('F2 - Données facturation'!$H$32+'F2 - Données facturation'!$M$32=0,"Hide","")</f>
        <v>Hide</v>
      </c>
      <c r="B315" s="432"/>
      <c r="C315" s="432"/>
      <c r="D315" s="432"/>
      <c r="E315" s="432"/>
      <c r="F315" s="432"/>
      <c r="G315" s="432"/>
      <c r="H315" s="469"/>
      <c r="I315" s="432"/>
      <c r="J315" s="432"/>
    </row>
    <row r="316" spans="1:10" x14ac:dyDescent="0.3">
      <c r="A316" t="str">
        <f>IF('F2 - Données facturation'!$H$32+'F2 - Données facturation'!$M$32=0,"Hide","")</f>
        <v>Hide</v>
      </c>
      <c r="B316" s="1017" t="s">
        <v>612</v>
      </c>
      <c r="C316" s="1017"/>
      <c r="D316" s="1017"/>
      <c r="E316" s="1017"/>
      <c r="F316" s="1017"/>
      <c r="G316" s="438"/>
      <c r="H316" s="432"/>
      <c r="I316" s="432"/>
      <c r="J316" s="432"/>
    </row>
    <row r="317" spans="1:10" x14ac:dyDescent="0.3">
      <c r="A317" t="str">
        <f>IF('F2 - Données facturation'!$H$32+'F2 - Données facturation'!$M$32=0,"Hide","")</f>
        <v>Hide</v>
      </c>
      <c r="B317" s="432"/>
      <c r="C317" s="432"/>
      <c r="D317" s="432"/>
      <c r="E317" s="432"/>
      <c r="F317" s="432"/>
      <c r="G317" s="432"/>
      <c r="H317" s="432"/>
      <c r="I317" s="432"/>
      <c r="J317" s="432"/>
    </row>
    <row r="318" spans="1:10" x14ac:dyDescent="0.3">
      <c r="A318" t="str">
        <f>IF('F2 - Données facturation'!$H$32+'F2 - Données facturation'!$M$32=0,"Hide","")</f>
        <v>Hide</v>
      </c>
      <c r="B318" s="432"/>
      <c r="C318" s="436" t="s">
        <v>531</v>
      </c>
      <c r="D318" s="432"/>
      <c r="E318" s="432"/>
      <c r="F318" s="432"/>
      <c r="G318" s="432"/>
      <c r="H318" s="432"/>
      <c r="I318" s="432"/>
      <c r="J318" s="432"/>
    </row>
    <row r="319" spans="1:10" x14ac:dyDescent="0.3">
      <c r="A319" t="str">
        <f>IF('F2 - Données facturation'!$H$32+'F2 - Données facturation'!$M$32=0,"Hide","")</f>
        <v>Hide</v>
      </c>
      <c r="B319" s="432"/>
      <c r="C319" s="432" t="s">
        <v>530</v>
      </c>
      <c r="D319" s="432"/>
      <c r="E319" s="433">
        <f>0.2*C313</f>
        <v>0</v>
      </c>
      <c r="F319" s="432" t="s">
        <v>529</v>
      </c>
      <c r="G319" s="432"/>
      <c r="H319" s="432"/>
      <c r="I319" s="432"/>
      <c r="J319" s="432"/>
    </row>
    <row r="320" spans="1:10" x14ac:dyDescent="0.3">
      <c r="A320" t="str">
        <f>IF('F2 - Données facturation'!$H$32+'F2 - Données facturation'!$M$32=0,"Hide","")</f>
        <v>Hide</v>
      </c>
      <c r="B320" s="432"/>
      <c r="C320" s="432" t="s">
        <v>528</v>
      </c>
      <c r="D320" s="432"/>
      <c r="E320" s="435">
        <f>E319*40</f>
        <v>0</v>
      </c>
      <c r="F320" s="432" t="s">
        <v>527</v>
      </c>
      <c r="G320" s="432"/>
      <c r="H320" s="432"/>
      <c r="I320" s="432"/>
      <c r="J320" s="432"/>
    </row>
    <row r="321" spans="1:10" x14ac:dyDescent="0.3">
      <c r="A321" t="str">
        <f>IF('F2 - Données facturation'!$H$32+'F2 - Données facturation'!$M$32=0,"Hide","")</f>
        <v>Hide</v>
      </c>
      <c r="B321" s="432"/>
      <c r="C321" s="432"/>
      <c r="D321" s="432"/>
      <c r="E321" s="432"/>
      <c r="F321" s="432"/>
      <c r="G321" s="432"/>
      <c r="H321" s="432"/>
      <c r="I321" s="432"/>
      <c r="J321" s="432"/>
    </row>
    <row r="322" spans="1:10" x14ac:dyDescent="0.3">
      <c r="A322" t="str">
        <f>IF('F2 - Données facturation'!$H$32+'F2 - Données facturation'!$M$32=0,"Hide","")</f>
        <v>Hide</v>
      </c>
      <c r="B322" s="432"/>
      <c r="C322" s="432"/>
      <c r="D322" s="432"/>
      <c r="E322" s="432"/>
      <c r="F322" s="432"/>
      <c r="G322" s="432"/>
      <c r="H322" s="432"/>
      <c r="I322" s="432"/>
      <c r="J322" s="432"/>
    </row>
    <row r="323" spans="1:10" x14ac:dyDescent="0.3">
      <c r="A323" t="str">
        <f>IF('F2 - Données facturation'!$H$32+'F2 - Données facturation'!$M$32=0,"Hide","")</f>
        <v>Hide</v>
      </c>
      <c r="B323" s="432"/>
      <c r="C323" s="432"/>
      <c r="D323" s="432"/>
      <c r="E323" s="432"/>
      <c r="F323" s="432"/>
      <c r="G323" s="432"/>
      <c r="H323" s="432"/>
      <c r="I323" s="432"/>
      <c r="J323" s="432"/>
    </row>
    <row r="324" spans="1:10" x14ac:dyDescent="0.3">
      <c r="A324" t="str">
        <f>IF('F2 - Données facturation'!$H$32+'F2 - Données facturation'!$M$32=0,"Hide","")</f>
        <v>Hide</v>
      </c>
      <c r="B324" s="432"/>
      <c r="C324" s="432" t="s">
        <v>526</v>
      </c>
      <c r="D324" s="432"/>
      <c r="E324" s="432"/>
      <c r="F324" s="432"/>
      <c r="G324" s="432"/>
      <c r="H324" s="468"/>
      <c r="I324" s="432"/>
      <c r="J324" s="432"/>
    </row>
    <row r="325" spans="1:10" x14ac:dyDescent="0.3">
      <c r="A325" t="str">
        <f>IF('F2 - Données facturation'!$H$32+'F2 - Données facturation'!$M$32=0,"Hide","")</f>
        <v>Hide</v>
      </c>
      <c r="B325" s="432"/>
      <c r="C325" s="1009" t="s">
        <v>525</v>
      </c>
      <c r="D325" s="1009"/>
      <c r="E325" s="1009"/>
      <c r="F325" s="1009"/>
      <c r="G325" s="1009"/>
      <c r="H325" s="1009"/>
      <c r="I325" s="432"/>
      <c r="J325" s="432"/>
    </row>
    <row r="326" spans="1:10" x14ac:dyDescent="0.3">
      <c r="A326" t="str">
        <f>IF('F2 - Données facturation'!$H$32+'F2 - Données facturation'!$M$32=0,"Hide","")</f>
        <v>Hide</v>
      </c>
      <c r="B326" s="432"/>
      <c r="C326" s="432"/>
      <c r="D326" s="432"/>
      <c r="E326" s="432"/>
      <c r="F326" s="432"/>
      <c r="G326" s="432"/>
      <c r="H326" s="432"/>
      <c r="I326" s="432"/>
      <c r="J326" s="432"/>
    </row>
    <row r="327" spans="1:10" x14ac:dyDescent="0.3">
      <c r="A327" t="str">
        <f>IF('F2 - Données facturation'!$H$32+'F2 - Données facturation'!$M$32=0,"Hide","")</f>
        <v>Hide</v>
      </c>
      <c r="B327" s="432"/>
      <c r="C327" s="435" t="s">
        <v>555</v>
      </c>
      <c r="D327" s="432"/>
      <c r="E327" s="432"/>
      <c r="F327" s="432"/>
      <c r="G327" s="432"/>
      <c r="H327" s="432"/>
      <c r="I327" s="432"/>
      <c r="J327" s="432"/>
    </row>
    <row r="328" spans="1:10" x14ac:dyDescent="0.3">
      <c r="A328" t="str">
        <f>IF('F2 - Données facturation'!$H$32+'F2 - Données facturation'!$M$32=0,"Hide","")</f>
        <v>Hide</v>
      </c>
      <c r="B328" s="432"/>
      <c r="C328" s="433">
        <f>C313-E319</f>
        <v>0</v>
      </c>
      <c r="D328" s="432" t="s">
        <v>523</v>
      </c>
      <c r="E328" s="432"/>
      <c r="F328" s="432"/>
      <c r="G328" s="432"/>
      <c r="H328" s="432"/>
      <c r="I328" s="432"/>
      <c r="J328" s="432"/>
    </row>
    <row r="329" spans="1:10" ht="15" thickBot="1" x14ac:dyDescent="0.35">
      <c r="A329" t="str">
        <f>IF('F2 - Données facturation'!$H$32+'F2 - Données facturation'!$M$32=0,"Hide","")</f>
        <v>Hide</v>
      </c>
      <c r="B329" s="432"/>
      <c r="C329" s="432"/>
      <c r="D329" s="432"/>
      <c r="E329" s="432"/>
      <c r="F329" s="432"/>
      <c r="G329" s="432"/>
      <c r="H329" s="432"/>
      <c r="I329" s="432"/>
      <c r="J329" s="432"/>
    </row>
    <row r="330" spans="1:10" x14ac:dyDescent="0.3">
      <c r="A330" t="str">
        <f>IF('F2 - Données facturation'!$H$32+'F2 - Données facturation'!$M$32=0,"Hide","")</f>
        <v>Hide</v>
      </c>
      <c r="B330" s="467" t="s">
        <v>611</v>
      </c>
      <c r="C330" s="274"/>
      <c r="D330" s="466"/>
      <c r="E330" s="466"/>
      <c r="F330" s="465"/>
      <c r="G330" s="432"/>
      <c r="H330" s="432"/>
      <c r="I330" s="432"/>
      <c r="J330" s="432"/>
    </row>
    <row r="331" spans="1:10" x14ac:dyDescent="0.3">
      <c r="A331" t="str">
        <f>IF('F2 - Données facturation'!$H$32+'F2 - Données facturation'!$M$32=0,"Hide","")</f>
        <v>Hide</v>
      </c>
      <c r="B331" s="212"/>
      <c r="C331" s="464" t="s">
        <v>610</v>
      </c>
      <c r="D331" s="432"/>
      <c r="E331" s="432"/>
      <c r="F331" s="463"/>
      <c r="G331" s="432"/>
      <c r="H331" s="432"/>
      <c r="I331" s="432"/>
      <c r="J331" s="432"/>
    </row>
    <row r="332" spans="1:10" x14ac:dyDescent="0.3">
      <c r="A332" t="str">
        <f>IF('F2 - Données facturation'!$H$32+'F2 - Données facturation'!$M$32=0,"Hide","")</f>
        <v>Hide</v>
      </c>
      <c r="B332" s="212"/>
      <c r="C332" s="464" t="s">
        <v>609</v>
      </c>
      <c r="D332" s="432"/>
      <c r="E332" s="432"/>
      <c r="F332" s="463"/>
      <c r="G332" s="432"/>
      <c r="H332" s="432"/>
      <c r="I332" s="432"/>
      <c r="J332" s="432"/>
    </row>
    <row r="333" spans="1:10" x14ac:dyDescent="0.3">
      <c r="A333" t="str">
        <f>IF('F2 - Données facturation'!$H$32+'F2 - Données facturation'!$M$32=0,"Hide","")</f>
        <v>Hide</v>
      </c>
      <c r="B333" s="212"/>
      <c r="C333" s="464" t="s">
        <v>608</v>
      </c>
      <c r="D333" s="432"/>
      <c r="E333" s="432"/>
      <c r="F333" s="463"/>
      <c r="G333" s="432"/>
      <c r="H333" s="432"/>
      <c r="I333" s="432"/>
      <c r="J333" s="432"/>
    </row>
    <row r="334" spans="1:10" x14ac:dyDescent="0.3">
      <c r="A334" t="str">
        <f>IF('F2 - Données facturation'!$H$32+'F2 - Données facturation'!$M$32=0,"Hide","")</f>
        <v>Hide</v>
      </c>
      <c r="B334" s="212"/>
      <c r="C334" s="464" t="s">
        <v>607</v>
      </c>
      <c r="D334" s="432"/>
      <c r="E334" s="432"/>
      <c r="F334" s="463"/>
      <c r="G334" s="432"/>
      <c r="H334" s="432"/>
      <c r="I334" s="432"/>
      <c r="J334" s="432"/>
    </row>
    <row r="335" spans="1:10" x14ac:dyDescent="0.3">
      <c r="A335" t="str">
        <f>IF('F2 - Données facturation'!$H$32+'F2 - Données facturation'!$M$32=0,"Hide","")</f>
        <v>Hide</v>
      </c>
      <c r="B335" s="212"/>
      <c r="C335" s="464" t="s">
        <v>606</v>
      </c>
      <c r="D335" s="432"/>
      <c r="E335" s="432"/>
      <c r="F335" s="463"/>
      <c r="G335" s="432"/>
      <c r="H335" s="432"/>
      <c r="I335" s="432"/>
      <c r="J335" s="432"/>
    </row>
    <row r="336" spans="1:10" x14ac:dyDescent="0.3">
      <c r="A336" t="str">
        <f>IF('F2 - Données facturation'!$H$32+'F2 - Données facturation'!$M$32=0,"Hide","")</f>
        <v>Hide</v>
      </c>
      <c r="B336" s="212"/>
      <c r="C336" s="464" t="s">
        <v>605</v>
      </c>
      <c r="D336" s="432"/>
      <c r="E336" s="432"/>
      <c r="F336" s="463"/>
      <c r="G336" s="432"/>
      <c r="H336" s="432"/>
      <c r="I336" s="432"/>
      <c r="J336" s="432"/>
    </row>
    <row r="337" spans="1:10" ht="15" thickBot="1" x14ac:dyDescent="0.35">
      <c r="A337" t="str">
        <f>IF('F2 - Données facturation'!$H$32+'F2 - Données facturation'!$M$32=0,"Hide","")</f>
        <v>Hide</v>
      </c>
      <c r="B337" s="407"/>
      <c r="C337" s="462" t="s">
        <v>604</v>
      </c>
      <c r="D337" s="461"/>
      <c r="E337" s="461"/>
      <c r="F337" s="460"/>
      <c r="G337" s="432"/>
      <c r="H337" s="432"/>
      <c r="I337" s="432"/>
      <c r="J337" s="432"/>
    </row>
    <row r="338" spans="1:10" x14ac:dyDescent="0.3">
      <c r="A338" t="str">
        <f>IF('F2 - Données facturation'!$H$32+'F2 - Données facturation'!$M$32=0,"Hide","")</f>
        <v>Hide</v>
      </c>
      <c r="B338" s="432"/>
      <c r="C338" s="432"/>
      <c r="D338" s="432"/>
      <c r="E338" s="432"/>
      <c r="F338" s="432"/>
      <c r="G338" s="432"/>
      <c r="H338" s="432"/>
      <c r="I338" s="432"/>
      <c r="J338" s="432"/>
    </row>
    <row r="339" spans="1:10" x14ac:dyDescent="0.3">
      <c r="A339" t="str">
        <f>IF('F2 - Données facturation'!$H$32+'F2 - Données facturation'!$M$32=0,"Hide","")</f>
        <v>Hide</v>
      </c>
      <c r="B339" s="432"/>
      <c r="C339" s="432" t="s">
        <v>603</v>
      </c>
      <c r="D339" s="433">
        <f>C313</f>
        <v>0</v>
      </c>
      <c r="E339" s="432"/>
      <c r="F339" s="432"/>
      <c r="G339" s="432"/>
      <c r="H339" s="432"/>
      <c r="I339" s="432"/>
      <c r="J339" s="432"/>
    </row>
    <row r="340" spans="1:10" x14ac:dyDescent="0.3">
      <c r="A340" t="str">
        <f>IF('F2 - Données facturation'!$H$32+'F2 - Données facturation'!$M$32=0,"Hide","")</f>
        <v>Hide</v>
      </c>
      <c r="B340" s="432"/>
      <c r="C340" s="433">
        <f>D339*0.16</f>
        <v>0</v>
      </c>
      <c r="D340" s="432" t="s">
        <v>521</v>
      </c>
      <c r="E340" s="432"/>
      <c r="F340" s="432"/>
      <c r="G340" s="432"/>
      <c r="H340" s="432"/>
      <c r="I340" s="432"/>
      <c r="J340" s="432"/>
    </row>
    <row r="341" spans="1:10" x14ac:dyDescent="0.3">
      <c r="A341" t="str">
        <f>IF('F2 - Données facturation'!$H$32+'F2 - Données facturation'!$M$32=0,"Hide","")</f>
        <v>Hide</v>
      </c>
      <c r="B341" s="432"/>
      <c r="C341" s="432"/>
      <c r="D341" s="432"/>
      <c r="E341" s="432"/>
      <c r="F341" s="432"/>
      <c r="G341" s="432"/>
      <c r="H341" s="432"/>
      <c r="I341" s="432"/>
      <c r="J341" s="432"/>
    </row>
    <row r="342" spans="1:10" ht="15" thickBot="1" x14ac:dyDescent="0.35">
      <c r="A342" t="str">
        <f>IF('F2 - Données facturation'!$H$32+'F2 - Données facturation'!$M$32=0,"Hide","")</f>
        <v>Hide</v>
      </c>
      <c r="B342" s="432"/>
      <c r="C342" s="432"/>
      <c r="D342" s="432"/>
      <c r="E342" s="432"/>
      <c r="F342" s="432"/>
      <c r="G342" s="432"/>
      <c r="H342" s="432"/>
      <c r="I342" s="432"/>
      <c r="J342" s="432"/>
    </row>
    <row r="343" spans="1:10" ht="15" thickBot="1" x14ac:dyDescent="0.35">
      <c r="A343" t="str">
        <f>IF('F2 - Données facturation'!$H$32+'F2 - Données facturation'!$M$32=0,"Hide","")</f>
        <v>Hide</v>
      </c>
      <c r="B343" s="1024" t="s">
        <v>616</v>
      </c>
      <c r="C343" s="1025"/>
      <c r="D343" s="1025"/>
      <c r="E343" s="1025"/>
      <c r="F343" s="1026"/>
      <c r="G343" s="432"/>
      <c r="H343" s="432"/>
      <c r="I343" s="432"/>
      <c r="J343" s="432"/>
    </row>
    <row r="344" spans="1:10" x14ac:dyDescent="0.3">
      <c r="A344" t="str">
        <f>IF('F2 - Données facturation'!$H$32+'F2 - Données facturation'!$M$32=0,"Hide","")</f>
        <v>Hide</v>
      </c>
      <c r="B344" s="432"/>
      <c r="C344" s="432"/>
      <c r="D344" s="432"/>
      <c r="E344" s="432"/>
      <c r="F344" s="432"/>
      <c r="G344" s="432"/>
      <c r="H344" s="432"/>
      <c r="I344" s="432"/>
      <c r="J344" s="432"/>
    </row>
    <row r="345" spans="1:10" x14ac:dyDescent="0.3">
      <c r="A345" t="str">
        <f>IF('F2 - Données facturation'!$H$32+'F2 - Données facturation'!$M$32=0,"Hide","")</f>
        <v>Hide</v>
      </c>
      <c r="B345" s="432"/>
      <c r="C345" s="432"/>
      <c r="D345" s="432"/>
      <c r="E345" s="432"/>
      <c r="F345" s="432"/>
      <c r="G345" s="432"/>
      <c r="H345" s="432"/>
      <c r="I345" s="432"/>
      <c r="J345" s="432"/>
    </row>
    <row r="346" spans="1:10" x14ac:dyDescent="0.3">
      <c r="A346" t="str">
        <f>IF('F2 - Données facturation'!$H$32+'F2 - Données facturation'!$M$32=0,"Hide","")</f>
        <v>Hide</v>
      </c>
      <c r="B346" s="432"/>
      <c r="C346" s="434" t="s">
        <v>615</v>
      </c>
      <c r="D346" s="433">
        <f>C313</f>
        <v>0</v>
      </c>
      <c r="E346" s="432"/>
      <c r="F346" s="432"/>
      <c r="G346" s="432"/>
      <c r="H346" s="432"/>
      <c r="I346" s="432"/>
      <c r="J346" s="432"/>
    </row>
    <row r="347" spans="1:10" x14ac:dyDescent="0.3">
      <c r="A347" t="str">
        <f>IF('F2 - Données facturation'!$H$32+'F2 - Données facturation'!$M$32=0,"Hide","")</f>
        <v>Hide</v>
      </c>
      <c r="B347" s="432"/>
      <c r="C347" s="433">
        <f>D346*0.32</f>
        <v>0</v>
      </c>
      <c r="D347" s="432" t="s">
        <v>518</v>
      </c>
      <c r="E347" s="432"/>
      <c r="F347" s="432"/>
      <c r="G347" s="432"/>
      <c r="H347" s="432"/>
      <c r="I347" s="432"/>
      <c r="J347" s="432"/>
    </row>
    <row r="348" spans="1:10" ht="15" thickBot="1" x14ac:dyDescent="0.35">
      <c r="A348" t="str">
        <f>IF('F2 - Données facturation'!$H$32+'F2 - Données facturation'!$M$32=0,"Hide","")</f>
        <v>Hide</v>
      </c>
      <c r="B348" s="432"/>
      <c r="C348" s="432"/>
      <c r="D348" s="432"/>
      <c r="E348" s="432"/>
      <c r="F348" s="432"/>
      <c r="G348" s="432"/>
      <c r="H348" s="432"/>
      <c r="I348" s="432"/>
      <c r="J348" s="432"/>
    </row>
    <row r="349" spans="1:10" ht="15" thickBot="1" x14ac:dyDescent="0.35">
      <c r="A349" t="str">
        <f>IF('F2 - Données facturation'!$H$32+'F2 - Données facturation'!$M$32=0,"Hide","")</f>
        <v>Hide</v>
      </c>
      <c r="B349" s="1024" t="s">
        <v>600</v>
      </c>
      <c r="C349" s="1025"/>
      <c r="D349" s="1025"/>
      <c r="E349" s="1025"/>
      <c r="F349" s="1026"/>
      <c r="G349" s="432"/>
      <c r="H349" s="432"/>
      <c r="I349" s="432"/>
      <c r="J349" s="432"/>
    </row>
    <row r="350" spans="1:10" x14ac:dyDescent="0.3">
      <c r="A350" t="str">
        <f>IF('F2 - Données facturation'!$H$32+'F2 - Données facturation'!$M$32=0,"Hide","")</f>
        <v>Hide</v>
      </c>
      <c r="B350" s="432"/>
      <c r="C350" s="432"/>
      <c r="D350" s="432"/>
      <c r="E350" s="432"/>
      <c r="F350" s="432"/>
      <c r="G350" s="432"/>
      <c r="H350" s="432"/>
      <c r="I350" s="432"/>
      <c r="J350" s="432"/>
    </row>
    <row r="351" spans="1:10" x14ac:dyDescent="0.3">
      <c r="A351" t="str">
        <f>IF('F2 - Données facturation'!$H$32+'F2 - Données facturation'!$M$32=0,"Hide","")</f>
        <v>Hide</v>
      </c>
      <c r="B351" s="432"/>
      <c r="C351" s="1018" t="s">
        <v>517</v>
      </c>
      <c r="D351" s="1018"/>
      <c r="E351" s="1018"/>
      <c r="F351" s="433">
        <f>C328</f>
        <v>0</v>
      </c>
      <c r="G351" s="432" t="s">
        <v>56</v>
      </c>
      <c r="H351" s="432"/>
      <c r="I351" s="432"/>
      <c r="J351" s="432"/>
    </row>
    <row r="352" spans="1:10" x14ac:dyDescent="0.3">
      <c r="A352" t="str">
        <f>IF('F2 - Données facturation'!$H$32+'F2 - Données facturation'!$M$32=0,"Hide","")</f>
        <v>Hide</v>
      </c>
      <c r="B352" s="432"/>
      <c r="C352" s="1018" t="s">
        <v>573</v>
      </c>
      <c r="D352" s="1018"/>
      <c r="E352" s="1018"/>
      <c r="F352" s="433">
        <f>C340</f>
        <v>0</v>
      </c>
      <c r="G352" s="432" t="s">
        <v>56</v>
      </c>
      <c r="H352" s="432"/>
      <c r="I352" s="432"/>
      <c r="J352" s="432"/>
    </row>
    <row r="353" spans="1:10" x14ac:dyDescent="0.3">
      <c r="A353" t="str">
        <f>IF('F2 - Données facturation'!$H$32+'F2 - Données facturation'!$M$32=0,"Hide","")</f>
        <v>Hide</v>
      </c>
      <c r="B353" s="432"/>
      <c r="C353" s="1018" t="s">
        <v>572</v>
      </c>
      <c r="D353" s="1018"/>
      <c r="E353" s="1018"/>
      <c r="F353" s="433">
        <f>C347</f>
        <v>0</v>
      </c>
      <c r="G353" s="432" t="s">
        <v>56</v>
      </c>
      <c r="H353" s="432"/>
      <c r="I353" s="432"/>
      <c r="J353" s="432"/>
    </row>
    <row r="354" spans="1:10" x14ac:dyDescent="0.3">
      <c r="A354" t="str">
        <f>IF('F2 - Données facturation'!$H$32+'F2 - Données facturation'!$M$32=0,"Hide","")</f>
        <v>Hide</v>
      </c>
      <c r="B354" s="432"/>
      <c r="C354" s="432"/>
      <c r="D354" s="432"/>
      <c r="E354" s="432"/>
      <c r="F354" s="432"/>
      <c r="G354" s="432"/>
      <c r="H354" s="432"/>
      <c r="I354" s="432"/>
      <c r="J354" s="432"/>
    </row>
    <row r="355" spans="1:10" ht="15.6" x14ac:dyDescent="0.3">
      <c r="A355" t="str">
        <f>IF('F2 - Données facturation'!$H$32+'F2 - Données facturation'!$M$32=0,"Hide","")</f>
        <v>Hide</v>
      </c>
      <c r="B355" s="432"/>
      <c r="C355" s="1019" t="s">
        <v>571</v>
      </c>
      <c r="D355" s="1018"/>
      <c r="E355" s="1018"/>
      <c r="F355" s="433">
        <f>F351-F352-F353</f>
        <v>0</v>
      </c>
      <c r="G355" s="432" t="s">
        <v>56</v>
      </c>
      <c r="H355" s="432"/>
      <c r="I355" s="432"/>
      <c r="J355" s="432"/>
    </row>
    <row r="356" spans="1:10" x14ac:dyDescent="0.3">
      <c r="A356" t="str">
        <f>IF('F2 - Données facturation'!$H$32+'F2 - Données facturation'!$M$32=0,"Hide","")</f>
        <v>Hide</v>
      </c>
      <c r="B356" s="432"/>
      <c r="C356" s="432"/>
      <c r="D356" s="432"/>
      <c r="E356" s="432"/>
      <c r="F356" s="432"/>
      <c r="G356" s="432"/>
      <c r="H356" s="432"/>
      <c r="I356" s="432"/>
      <c r="J356" s="432"/>
    </row>
    <row r="357" spans="1:10" x14ac:dyDescent="0.3">
      <c r="A357" t="str">
        <f>IF('F2 - Données facturation'!$H$32+'F2 - Données facturation'!$M$32=0,"Hide","")</f>
        <v>Hide</v>
      </c>
      <c r="B357" s="432"/>
      <c r="C357" s="432"/>
      <c r="D357" s="432"/>
      <c r="E357" s="432"/>
      <c r="F357" s="432"/>
      <c r="G357" s="432"/>
      <c r="H357" s="432"/>
      <c r="I357" s="432"/>
      <c r="J357" s="432"/>
    </row>
    <row r="358" spans="1:10" ht="18" x14ac:dyDescent="0.3">
      <c r="A358" t="str">
        <f>IF('F2 - Données facturation'!$J$32=0,"Hide","")</f>
        <v>Hide</v>
      </c>
      <c r="B358" s="1027" t="s">
        <v>624</v>
      </c>
      <c r="C358" s="1027"/>
      <c r="D358" s="432"/>
      <c r="E358" s="432"/>
      <c r="F358" s="432"/>
      <c r="G358" s="432"/>
      <c r="H358" s="432"/>
      <c r="I358" s="432"/>
      <c r="J358" s="432"/>
    </row>
    <row r="359" spans="1:10" x14ac:dyDescent="0.3">
      <c r="A359" t="str">
        <f>IF('F2 - Données facturation'!$J$32=0,"Hide","")</f>
        <v>Hide</v>
      </c>
      <c r="B359" s="432"/>
      <c r="C359" s="432"/>
      <c r="D359" s="432"/>
      <c r="E359" s="432"/>
      <c r="F359" s="432"/>
      <c r="G359" s="432"/>
      <c r="H359" s="432"/>
      <c r="I359" s="432"/>
      <c r="J359" s="432"/>
    </row>
    <row r="360" spans="1:10" x14ac:dyDescent="0.3">
      <c r="A360" t="str">
        <f>IF('F2 - Données facturation'!$J$32=0,"Hide","")</f>
        <v>Hide</v>
      </c>
      <c r="B360" s="1017" t="s">
        <v>582</v>
      </c>
      <c r="C360" s="1017"/>
      <c r="D360" s="1017"/>
      <c r="E360" s="1017"/>
      <c r="F360" s="1017"/>
      <c r="G360" s="432"/>
      <c r="H360" s="432"/>
      <c r="I360" s="432"/>
      <c r="J360" s="432"/>
    </row>
    <row r="361" spans="1:10" x14ac:dyDescent="0.3">
      <c r="A361" t="str">
        <f>IF('F2 - Données facturation'!$J$32=0,"Hide","")</f>
        <v>Hide</v>
      </c>
      <c r="B361" s="432"/>
      <c r="C361" s="432"/>
      <c r="D361" s="432"/>
      <c r="E361" s="432"/>
      <c r="F361" s="432"/>
      <c r="G361" s="432"/>
      <c r="H361" s="432"/>
      <c r="I361" s="432"/>
      <c r="J361" s="432"/>
    </row>
    <row r="362" spans="1:10" x14ac:dyDescent="0.3">
      <c r="A362" t="str">
        <f>IF('F2 - Données facturation'!$J$32=0,"Hide","")</f>
        <v>Hide</v>
      </c>
      <c r="B362" s="432"/>
      <c r="C362" s="436" t="s">
        <v>623</v>
      </c>
      <c r="D362" s="432"/>
      <c r="E362" s="432"/>
      <c r="F362" s="432"/>
      <c r="G362" s="432"/>
      <c r="H362" s="432"/>
      <c r="I362" s="432"/>
      <c r="J362" s="432"/>
    </row>
    <row r="363" spans="1:10" x14ac:dyDescent="0.3">
      <c r="A363" t="str">
        <f>IF('F2 - Données facturation'!$J$32=0,"Hide","")</f>
        <v>Hide</v>
      </c>
      <c r="B363" s="432"/>
      <c r="C363" s="432"/>
      <c r="D363" s="432"/>
      <c r="E363" s="432"/>
      <c r="F363" s="432"/>
      <c r="G363" s="432"/>
      <c r="H363" s="432"/>
      <c r="I363" s="432"/>
      <c r="J363" s="432"/>
    </row>
    <row r="364" spans="1:10" x14ac:dyDescent="0.3">
      <c r="A364" t="str">
        <f>IF('F2 - Données facturation'!$J$32=0,"Hide","")</f>
        <v>Hide</v>
      </c>
      <c r="B364" s="432"/>
      <c r="C364" s="432" t="s">
        <v>622</v>
      </c>
      <c r="D364" s="432"/>
      <c r="E364" s="433">
        <f>1.1936*H179</f>
        <v>0</v>
      </c>
      <c r="F364" s="432" t="s">
        <v>533</v>
      </c>
      <c r="G364" s="432"/>
      <c r="H364" s="432"/>
      <c r="I364" s="432"/>
      <c r="J364" s="432"/>
    </row>
    <row r="365" spans="1:10" x14ac:dyDescent="0.3">
      <c r="A365" t="str">
        <f>IF('F2 - Données facturation'!$J$32=0,"Hide","")</f>
        <v>Hide</v>
      </c>
      <c r="B365" s="432"/>
      <c r="C365" s="432"/>
      <c r="D365" s="432"/>
      <c r="E365" s="432"/>
      <c r="F365" s="432"/>
      <c r="G365" s="432"/>
      <c r="H365" s="432"/>
      <c r="I365" s="432"/>
      <c r="J365" s="432"/>
    </row>
    <row r="366" spans="1:10" x14ac:dyDescent="0.3">
      <c r="A366" t="str">
        <f>IF('F2 - Données facturation'!$J$32=0,"Hide","")</f>
        <v>Hide</v>
      </c>
      <c r="B366" s="432"/>
      <c r="C366" s="1016" t="s">
        <v>621</v>
      </c>
      <c r="D366" s="1016"/>
      <c r="E366" s="1016"/>
      <c r="F366" s="1016"/>
      <c r="G366" s="1016"/>
      <c r="H366" s="1016"/>
      <c r="I366" s="432"/>
      <c r="J366" s="432"/>
    </row>
    <row r="367" spans="1:10" x14ac:dyDescent="0.3">
      <c r="A367" t="str">
        <f>IF('F2 - Données facturation'!$J$32=0,"Hide","")</f>
        <v>Hide</v>
      </c>
      <c r="B367" s="432"/>
      <c r="C367" s="432"/>
      <c r="D367" s="432"/>
      <c r="E367" s="432"/>
      <c r="F367" s="432"/>
      <c r="G367" s="432"/>
      <c r="H367" s="432"/>
      <c r="I367" s="432"/>
      <c r="J367" s="432"/>
    </row>
    <row r="368" spans="1:10" x14ac:dyDescent="0.3">
      <c r="A368" t="str">
        <f>IF('F2 - Données facturation'!$J$32=0,"Hide","")</f>
        <v>Hide</v>
      </c>
      <c r="B368" s="432"/>
      <c r="C368" s="433">
        <f>E364</f>
        <v>0</v>
      </c>
      <c r="D368" s="438" t="s">
        <v>533</v>
      </c>
      <c r="E368" s="432"/>
      <c r="F368" s="432"/>
      <c r="G368" s="432"/>
      <c r="H368" s="432"/>
      <c r="I368" s="432"/>
      <c r="J368" s="432"/>
    </row>
    <row r="369" spans="1:10" x14ac:dyDescent="0.3">
      <c r="A369" t="str">
        <f>IF('F2 - Données facturation'!$J$32=0,"Hide","")</f>
        <v>Hide</v>
      </c>
      <c r="B369" s="432"/>
      <c r="C369" s="432"/>
      <c r="D369" s="432"/>
      <c r="E369" s="432"/>
      <c r="F369" s="432"/>
      <c r="G369" s="432"/>
      <c r="H369" s="432"/>
      <c r="I369" s="432"/>
      <c r="J369" s="432"/>
    </row>
    <row r="370" spans="1:10" x14ac:dyDescent="0.3">
      <c r="A370" t="str">
        <f>IF('F2 - Données facturation'!$J$32=0,"Hide","")</f>
        <v>Hide</v>
      </c>
      <c r="B370" s="1017" t="s">
        <v>612</v>
      </c>
      <c r="C370" s="1017"/>
      <c r="D370" s="1017"/>
      <c r="E370" s="1017"/>
      <c r="F370" s="1017"/>
      <c r="G370" s="438"/>
      <c r="H370" s="438"/>
      <c r="I370" s="432"/>
      <c r="J370" s="432"/>
    </row>
    <row r="371" spans="1:10" x14ac:dyDescent="0.3">
      <c r="A371" t="str">
        <f>IF('F2 - Données facturation'!$J$32=0,"Hide","")</f>
        <v>Hide</v>
      </c>
      <c r="B371" s="432"/>
      <c r="C371" s="432"/>
      <c r="D371" s="432"/>
      <c r="E371" s="432"/>
      <c r="F371" s="432"/>
      <c r="G371" s="432"/>
      <c r="H371" s="432"/>
      <c r="I371" s="432"/>
      <c r="J371" s="432"/>
    </row>
    <row r="372" spans="1:10" x14ac:dyDescent="0.3">
      <c r="A372" t="str">
        <f>IF('F2 - Données facturation'!$J$32=0,"Hide","")</f>
        <v>Hide</v>
      </c>
      <c r="B372" s="432"/>
      <c r="C372" s="436" t="s">
        <v>531</v>
      </c>
      <c r="D372" s="432"/>
      <c r="E372" s="432"/>
      <c r="F372" s="432"/>
      <c r="G372" s="432"/>
      <c r="H372" s="432"/>
      <c r="I372" s="432"/>
      <c r="J372" s="432"/>
    </row>
    <row r="373" spans="1:10" x14ac:dyDescent="0.3">
      <c r="A373" t="str">
        <f>IF('F2 - Données facturation'!$J$32=0,"Hide","")</f>
        <v>Hide</v>
      </c>
      <c r="B373" s="432"/>
      <c r="C373" s="432" t="s">
        <v>530</v>
      </c>
      <c r="D373" s="432"/>
      <c r="E373" s="433">
        <f>0.2*C368</f>
        <v>0</v>
      </c>
      <c r="F373" s="432" t="s">
        <v>529</v>
      </c>
      <c r="G373" s="432"/>
      <c r="H373" s="432"/>
      <c r="I373" s="432"/>
      <c r="J373" s="432"/>
    </row>
    <row r="374" spans="1:10" x14ac:dyDescent="0.3">
      <c r="A374" t="str">
        <f>IF('F2 - Données facturation'!$J$32=0,"Hide","")</f>
        <v>Hide</v>
      </c>
      <c r="B374" s="432"/>
      <c r="C374" s="432" t="s">
        <v>528</v>
      </c>
      <c r="D374" s="432"/>
      <c r="E374" s="435">
        <f>E373*40</f>
        <v>0</v>
      </c>
      <c r="F374" s="432" t="s">
        <v>527</v>
      </c>
      <c r="G374" s="432"/>
      <c r="H374" s="432"/>
      <c r="I374" s="432"/>
      <c r="J374" s="432"/>
    </row>
    <row r="375" spans="1:10" x14ac:dyDescent="0.3">
      <c r="A375" t="str">
        <f>IF('F2 - Données facturation'!$J$32=0,"Hide","")</f>
        <v>Hide</v>
      </c>
      <c r="B375" s="432"/>
      <c r="C375" s="432"/>
      <c r="D375" s="432"/>
      <c r="E375" s="432"/>
      <c r="F375" s="432"/>
      <c r="G375" s="432"/>
      <c r="H375" s="432"/>
      <c r="I375" s="432"/>
      <c r="J375" s="432"/>
    </row>
    <row r="376" spans="1:10" x14ac:dyDescent="0.3">
      <c r="A376" t="str">
        <f>IF('F2 - Données facturation'!$J$32=0,"Hide","")</f>
        <v>Hide</v>
      </c>
      <c r="B376" s="432"/>
      <c r="C376" s="432" t="s">
        <v>526</v>
      </c>
      <c r="D376" s="432"/>
      <c r="E376" s="432"/>
      <c r="F376" s="432"/>
      <c r="G376" s="432"/>
      <c r="H376" s="432"/>
      <c r="I376" s="432"/>
      <c r="J376" s="432"/>
    </row>
    <row r="377" spans="1:10" x14ac:dyDescent="0.3">
      <c r="A377" t="str">
        <f>IF('F2 - Données facturation'!$J$32=0,"Hide","")</f>
        <v>Hide</v>
      </c>
      <c r="B377" s="432"/>
      <c r="C377" s="1009" t="s">
        <v>525</v>
      </c>
      <c r="D377" s="1009"/>
      <c r="E377" s="1009"/>
      <c r="F377" s="1009"/>
      <c r="G377" s="1009"/>
      <c r="H377" s="1009"/>
      <c r="I377" s="432"/>
      <c r="J377" s="432"/>
    </row>
    <row r="378" spans="1:10" x14ac:dyDescent="0.3">
      <c r="A378" t="str">
        <f>IF('F2 - Données facturation'!$J$32=0,"Hide","")</f>
        <v>Hide</v>
      </c>
      <c r="B378" s="432"/>
      <c r="C378" s="432"/>
      <c r="D378" s="432"/>
      <c r="E378" s="432"/>
      <c r="F378" s="432"/>
      <c r="G378" s="432"/>
      <c r="H378" s="432"/>
      <c r="I378" s="432"/>
      <c r="J378" s="432"/>
    </row>
    <row r="379" spans="1:10" x14ac:dyDescent="0.3">
      <c r="A379" t="str">
        <f>IF('F2 - Données facturation'!$J$32=0,"Hide","")</f>
        <v>Hide</v>
      </c>
      <c r="B379" s="432"/>
      <c r="C379" s="435" t="s">
        <v>545</v>
      </c>
      <c r="D379" s="432"/>
      <c r="E379" s="432"/>
      <c r="F379" s="432"/>
      <c r="G379" s="432"/>
      <c r="H379" s="432"/>
      <c r="I379" s="432"/>
      <c r="J379" s="432"/>
    </row>
    <row r="380" spans="1:10" x14ac:dyDescent="0.3">
      <c r="A380" t="str">
        <f>IF('F2 - Données facturation'!$J$32=0,"Hide","")</f>
        <v>Hide</v>
      </c>
      <c r="B380" s="432"/>
      <c r="C380" s="433">
        <f>C368-E373</f>
        <v>0</v>
      </c>
      <c r="D380" s="432" t="s">
        <v>523</v>
      </c>
      <c r="E380" s="432"/>
      <c r="F380" s="432"/>
      <c r="G380" s="432"/>
      <c r="H380" s="432"/>
      <c r="I380" s="432"/>
      <c r="J380" s="432"/>
    </row>
    <row r="381" spans="1:10" ht="15" thickBot="1" x14ac:dyDescent="0.35">
      <c r="A381" t="str">
        <f>IF('F2 - Données facturation'!$J$32=0,"Hide","")</f>
        <v>Hide</v>
      </c>
      <c r="B381" s="432"/>
      <c r="C381" s="432"/>
      <c r="D381" s="432"/>
      <c r="E381" s="432"/>
      <c r="F381" s="432"/>
      <c r="G381" s="432"/>
      <c r="H381" s="432"/>
      <c r="I381" s="432"/>
      <c r="J381" s="432"/>
    </row>
    <row r="382" spans="1:10" x14ac:dyDescent="0.3">
      <c r="A382" t="str">
        <f>IF('F2 - Données facturation'!$J$32=0,"Hide","")</f>
        <v>Hide</v>
      </c>
      <c r="B382" s="467" t="s">
        <v>611</v>
      </c>
      <c r="C382" s="274"/>
      <c r="D382" s="466"/>
      <c r="E382" s="466"/>
      <c r="F382" s="465"/>
      <c r="G382" s="432"/>
      <c r="H382" s="432"/>
      <c r="I382" s="432"/>
      <c r="J382" s="432"/>
    </row>
    <row r="383" spans="1:10" x14ac:dyDescent="0.3">
      <c r="A383" t="str">
        <f>IF('F2 - Données facturation'!$J$32=0,"Hide","")</f>
        <v>Hide</v>
      </c>
      <c r="B383" s="212"/>
      <c r="C383" s="464" t="s">
        <v>610</v>
      </c>
      <c r="D383" s="432"/>
      <c r="E383" s="432"/>
      <c r="F383" s="463"/>
      <c r="G383" s="432"/>
      <c r="H383" s="432"/>
      <c r="I383" s="432"/>
      <c r="J383" s="432"/>
    </row>
    <row r="384" spans="1:10" x14ac:dyDescent="0.3">
      <c r="A384" t="str">
        <f>IF('F2 - Données facturation'!$J$32=0,"Hide","")</f>
        <v>Hide</v>
      </c>
      <c r="B384" s="212"/>
      <c r="C384" s="464" t="s">
        <v>609</v>
      </c>
      <c r="D384" s="432"/>
      <c r="E384" s="432"/>
      <c r="F384" s="463"/>
      <c r="G384" s="432"/>
      <c r="H384" s="432"/>
      <c r="I384" s="432"/>
      <c r="J384" s="432"/>
    </row>
    <row r="385" spans="1:10" x14ac:dyDescent="0.3">
      <c r="A385" t="str">
        <f>IF('F2 - Données facturation'!$J$32=0,"Hide","")</f>
        <v>Hide</v>
      </c>
      <c r="B385" s="212"/>
      <c r="C385" s="464" t="s">
        <v>608</v>
      </c>
      <c r="D385" s="432"/>
      <c r="E385" s="432"/>
      <c r="F385" s="463"/>
      <c r="G385" s="432"/>
      <c r="H385" s="432"/>
      <c r="I385" s="432"/>
      <c r="J385" s="432"/>
    </row>
    <row r="386" spans="1:10" x14ac:dyDescent="0.3">
      <c r="A386" t="str">
        <f>IF('F2 - Données facturation'!$J$32=0,"Hide","")</f>
        <v>Hide</v>
      </c>
      <c r="B386" s="212"/>
      <c r="C386" s="464" t="s">
        <v>607</v>
      </c>
      <c r="D386" s="432"/>
      <c r="E386" s="432"/>
      <c r="F386" s="463"/>
      <c r="G386" s="432"/>
      <c r="H386" s="432"/>
      <c r="I386" s="432"/>
      <c r="J386" s="432"/>
    </row>
    <row r="387" spans="1:10" x14ac:dyDescent="0.3">
      <c r="A387" t="str">
        <f>IF('F2 - Données facturation'!$J$32=0,"Hide","")</f>
        <v>Hide</v>
      </c>
      <c r="B387" s="212"/>
      <c r="C387" s="464" t="s">
        <v>606</v>
      </c>
      <c r="D387" s="432"/>
      <c r="E387" s="432"/>
      <c r="F387" s="463"/>
      <c r="G387" s="432"/>
      <c r="H387" s="432"/>
      <c r="I387" s="432"/>
      <c r="J387" s="432"/>
    </row>
    <row r="388" spans="1:10" x14ac:dyDescent="0.3">
      <c r="A388" t="str">
        <f>IF('F2 - Données facturation'!$J$32=0,"Hide","")</f>
        <v>Hide</v>
      </c>
      <c r="B388" s="212"/>
      <c r="C388" s="464" t="s">
        <v>605</v>
      </c>
      <c r="D388" s="432"/>
      <c r="E388" s="432"/>
      <c r="F388" s="463"/>
      <c r="G388" s="432"/>
      <c r="H388" s="432"/>
      <c r="I388" s="432"/>
      <c r="J388" s="432"/>
    </row>
    <row r="389" spans="1:10" ht="15" thickBot="1" x14ac:dyDescent="0.35">
      <c r="A389" t="str">
        <f>IF('F2 - Données facturation'!$J$32=0,"Hide","")</f>
        <v>Hide</v>
      </c>
      <c r="B389" s="407"/>
      <c r="C389" s="462" t="s">
        <v>604</v>
      </c>
      <c r="D389" s="461"/>
      <c r="E389" s="461"/>
      <c r="F389" s="460"/>
      <c r="G389" s="432"/>
      <c r="H389" s="432"/>
      <c r="I389" s="432"/>
      <c r="J389" s="432"/>
    </row>
    <row r="390" spans="1:10" x14ac:dyDescent="0.3">
      <c r="A390" t="str">
        <f>IF('F2 - Données facturation'!$J$32=0,"Hide","")</f>
        <v>Hide</v>
      </c>
      <c r="B390" s="432"/>
      <c r="C390" s="432"/>
      <c r="D390" s="432"/>
      <c r="E390" s="432"/>
      <c r="F390" s="432"/>
      <c r="G390" s="432"/>
      <c r="H390" s="432"/>
      <c r="I390" s="432"/>
      <c r="J390" s="432"/>
    </row>
    <row r="391" spans="1:10" x14ac:dyDescent="0.3">
      <c r="A391" t="str">
        <f>IF('F2 - Données facturation'!$J$32=0,"Hide","")</f>
        <v>Hide</v>
      </c>
      <c r="B391" s="432"/>
      <c r="C391" s="432" t="s">
        <v>603</v>
      </c>
      <c r="D391" s="433">
        <f>C368</f>
        <v>0</v>
      </c>
      <c r="E391" s="432"/>
      <c r="F391" s="432"/>
      <c r="G391" s="432"/>
      <c r="H391" s="432"/>
      <c r="I391" s="432"/>
      <c r="J391" s="432"/>
    </row>
    <row r="392" spans="1:10" x14ac:dyDescent="0.3">
      <c r="A392" t="str">
        <f>IF('F2 - Données facturation'!$J$32=0,"Hide","")</f>
        <v>Hide</v>
      </c>
      <c r="B392" s="432"/>
      <c r="C392" s="433">
        <f>D391*0.16</f>
        <v>0</v>
      </c>
      <c r="D392" s="432" t="s">
        <v>521</v>
      </c>
      <c r="E392" s="432"/>
      <c r="F392" s="432"/>
      <c r="G392" s="432"/>
      <c r="H392" s="432"/>
      <c r="I392" s="432"/>
      <c r="J392" s="432"/>
    </row>
    <row r="393" spans="1:10" ht="15" thickBot="1" x14ac:dyDescent="0.35">
      <c r="A393" t="str">
        <f>IF('F2 - Données facturation'!$J$32=0,"Hide","")</f>
        <v>Hide</v>
      </c>
      <c r="B393" s="432"/>
      <c r="C393" s="432"/>
      <c r="D393" s="432"/>
      <c r="E393" s="432"/>
      <c r="F393" s="432"/>
      <c r="G393" s="432"/>
      <c r="H393" s="432"/>
      <c r="I393" s="432"/>
      <c r="J393" s="432"/>
    </row>
    <row r="394" spans="1:10" ht="15" thickBot="1" x14ac:dyDescent="0.35">
      <c r="A394" t="str">
        <f>IF('F2 - Données facturation'!$J$32=0,"Hide","")</f>
        <v>Hide</v>
      </c>
      <c r="B394" s="1024" t="s">
        <v>616</v>
      </c>
      <c r="C394" s="1025"/>
      <c r="D394" s="1025"/>
      <c r="E394" s="1025"/>
      <c r="F394" s="1026"/>
      <c r="G394" s="432"/>
      <c r="H394" s="432"/>
      <c r="I394" s="432"/>
      <c r="J394" s="432"/>
    </row>
    <row r="395" spans="1:10" x14ac:dyDescent="0.3">
      <c r="A395" t="str">
        <f>IF('F2 - Données facturation'!$J$32=0,"Hide","")</f>
        <v>Hide</v>
      </c>
      <c r="B395" s="432"/>
      <c r="C395" s="432"/>
      <c r="D395" s="432"/>
      <c r="E395" s="432"/>
      <c r="F395" s="432"/>
      <c r="G395" s="432"/>
      <c r="H395" s="432"/>
      <c r="I395" s="432"/>
      <c r="J395" s="432"/>
    </row>
    <row r="396" spans="1:10" x14ac:dyDescent="0.3">
      <c r="A396" t="str">
        <f>IF('F2 - Données facturation'!$J$32=0,"Hide","")</f>
        <v>Hide</v>
      </c>
      <c r="B396" s="432"/>
      <c r="C396" s="432"/>
      <c r="D396" s="432"/>
      <c r="E396" s="432"/>
      <c r="F396" s="432"/>
      <c r="G396" s="432"/>
      <c r="H396" s="432"/>
      <c r="I396" s="432"/>
      <c r="J396" s="432"/>
    </row>
    <row r="397" spans="1:10" x14ac:dyDescent="0.3">
      <c r="A397" t="str">
        <f>IF('F2 - Données facturation'!$J$32=0,"Hide","")</f>
        <v>Hide</v>
      </c>
      <c r="B397" s="432"/>
      <c r="C397" s="434" t="s">
        <v>615</v>
      </c>
      <c r="D397" s="433">
        <f>C368</f>
        <v>0</v>
      </c>
      <c r="E397" s="432"/>
      <c r="F397" s="432"/>
      <c r="G397" s="432"/>
      <c r="H397" s="432"/>
      <c r="I397" s="432"/>
      <c r="J397" s="432"/>
    </row>
    <row r="398" spans="1:10" x14ac:dyDescent="0.3">
      <c r="A398" t="str">
        <f>IF('F2 - Données facturation'!$J$32=0,"Hide","")</f>
        <v>Hide</v>
      </c>
      <c r="B398" s="432"/>
      <c r="C398" s="433">
        <f>D397*0.32</f>
        <v>0</v>
      </c>
      <c r="D398" s="432" t="s">
        <v>518</v>
      </c>
      <c r="E398" s="432"/>
      <c r="F398" s="432"/>
      <c r="G398" s="432"/>
      <c r="H398" s="432"/>
      <c r="I398" s="432"/>
      <c r="J398" s="432"/>
    </row>
    <row r="399" spans="1:10" ht="15" thickBot="1" x14ac:dyDescent="0.35">
      <c r="A399" t="str">
        <f>IF('F2 - Données facturation'!$J$32=0,"Hide","")</f>
        <v>Hide</v>
      </c>
      <c r="B399" s="432"/>
      <c r="C399" s="432"/>
      <c r="D399" s="432"/>
      <c r="E399" s="432"/>
      <c r="F399" s="432"/>
      <c r="G399" s="432"/>
      <c r="H399" s="432"/>
      <c r="I399" s="432"/>
      <c r="J399" s="432"/>
    </row>
    <row r="400" spans="1:10" ht="15" thickBot="1" x14ac:dyDescent="0.35">
      <c r="A400" t="str">
        <f>IF('F2 - Données facturation'!$J$32=0,"Hide","")</f>
        <v>Hide</v>
      </c>
      <c r="B400" s="1024" t="s">
        <v>600</v>
      </c>
      <c r="C400" s="1025"/>
      <c r="D400" s="1025"/>
      <c r="E400" s="1025"/>
      <c r="F400" s="1026"/>
      <c r="G400" s="432"/>
      <c r="H400" s="432"/>
      <c r="I400" s="432"/>
      <c r="J400" s="432"/>
    </row>
    <row r="401" spans="1:10" x14ac:dyDescent="0.3">
      <c r="A401" t="str">
        <f>IF('F2 - Données facturation'!$J$32=0,"Hide","")</f>
        <v>Hide</v>
      </c>
      <c r="B401" s="432"/>
      <c r="C401" s="432"/>
      <c r="D401" s="432"/>
      <c r="E401" s="432"/>
      <c r="F401" s="432"/>
      <c r="G401" s="432"/>
      <c r="H401" s="432"/>
      <c r="I401" s="432"/>
      <c r="J401" s="432"/>
    </row>
    <row r="402" spans="1:10" x14ac:dyDescent="0.3">
      <c r="A402" t="str">
        <f>IF('F2 - Données facturation'!$J$32=0,"Hide","")</f>
        <v>Hide</v>
      </c>
      <c r="B402" s="432"/>
      <c r="C402" s="1018" t="s">
        <v>517</v>
      </c>
      <c r="D402" s="1018"/>
      <c r="E402" s="1018"/>
      <c r="F402" s="433">
        <f>C380</f>
        <v>0</v>
      </c>
      <c r="G402" s="432" t="s">
        <v>56</v>
      </c>
      <c r="H402" s="432"/>
      <c r="I402" s="432"/>
      <c r="J402" s="432"/>
    </row>
    <row r="403" spans="1:10" x14ac:dyDescent="0.3">
      <c r="A403" t="str">
        <f>IF('F2 - Données facturation'!$J$32=0,"Hide","")</f>
        <v>Hide</v>
      </c>
      <c r="B403" s="432"/>
      <c r="C403" s="1018" t="s">
        <v>573</v>
      </c>
      <c r="D403" s="1018"/>
      <c r="E403" s="1018"/>
      <c r="F403" s="433">
        <f>C392</f>
        <v>0</v>
      </c>
      <c r="G403" s="432" t="s">
        <v>56</v>
      </c>
      <c r="H403" s="432"/>
      <c r="I403" s="432"/>
      <c r="J403" s="432"/>
    </row>
    <row r="404" spans="1:10" x14ac:dyDescent="0.3">
      <c r="A404" t="str">
        <f>IF('F2 - Données facturation'!$J$32=0,"Hide","")</f>
        <v>Hide</v>
      </c>
      <c r="B404" s="432"/>
      <c r="C404" s="1018" t="s">
        <v>572</v>
      </c>
      <c r="D404" s="1018"/>
      <c r="E404" s="1018"/>
      <c r="F404" s="433">
        <f>C398</f>
        <v>0</v>
      </c>
      <c r="G404" s="432" t="s">
        <v>56</v>
      </c>
      <c r="H404" s="432"/>
      <c r="I404" s="432"/>
      <c r="J404" s="432"/>
    </row>
    <row r="405" spans="1:10" x14ac:dyDescent="0.3">
      <c r="A405" t="str">
        <f>IF('F2 - Données facturation'!$J$32=0,"Hide","")</f>
        <v>Hide</v>
      </c>
      <c r="B405" s="432"/>
      <c r="C405" s="432"/>
      <c r="D405" s="432"/>
      <c r="E405" s="432"/>
      <c r="F405" s="432"/>
      <c r="G405" s="432"/>
      <c r="H405" s="432"/>
      <c r="I405" s="432"/>
      <c r="J405" s="432"/>
    </row>
    <row r="406" spans="1:10" ht="15.6" x14ac:dyDescent="0.3">
      <c r="A406" t="str">
        <f>IF('F2 - Données facturation'!$J$32=0,"Hide","")</f>
        <v>Hide</v>
      </c>
      <c r="B406" s="432"/>
      <c r="C406" s="1019" t="s">
        <v>571</v>
      </c>
      <c r="D406" s="1018"/>
      <c r="E406" s="1018"/>
      <c r="F406" s="433">
        <f>F402-F403-F404</f>
        <v>0</v>
      </c>
      <c r="G406" s="432" t="s">
        <v>56</v>
      </c>
      <c r="H406" s="432"/>
      <c r="I406" s="432"/>
      <c r="J406" s="432"/>
    </row>
    <row r="407" spans="1:10" x14ac:dyDescent="0.3">
      <c r="A407" t="str">
        <f>IF('F2 - Données facturation'!$J$32=0,"Hide","")</f>
        <v>Hide</v>
      </c>
      <c r="B407" s="440"/>
      <c r="C407" s="432"/>
      <c r="D407" s="435"/>
      <c r="E407" s="435"/>
      <c r="F407" s="435"/>
      <c r="G407" s="435"/>
      <c r="H407" s="435"/>
      <c r="I407" s="432"/>
      <c r="J407" s="432"/>
    </row>
    <row r="408" spans="1:10" x14ac:dyDescent="0.3">
      <c r="A408" t="str">
        <f>IF('F2 - Données facturation'!$J$32=0,"Hide","")</f>
        <v>Hide</v>
      </c>
      <c r="B408" s="440"/>
      <c r="C408" s="432"/>
      <c r="D408" s="435"/>
      <c r="E408" s="435"/>
      <c r="F408" s="435"/>
      <c r="G408" s="435"/>
      <c r="H408" s="435"/>
      <c r="I408" s="432"/>
      <c r="J408" s="432"/>
    </row>
    <row r="409" spans="1:10" x14ac:dyDescent="0.3">
      <c r="A409" t="str">
        <f>IF('F2 - Données facturation'!$J$32=0,"Hide","")</f>
        <v>Hide</v>
      </c>
      <c r="B409" s="432"/>
      <c r="C409" s="432"/>
      <c r="D409" s="432"/>
      <c r="E409" s="432"/>
      <c r="F409" s="432"/>
      <c r="G409" s="432"/>
      <c r="H409" s="432"/>
      <c r="I409" s="432"/>
      <c r="J409" s="432"/>
    </row>
    <row r="410" spans="1:10" x14ac:dyDescent="0.3">
      <c r="A410" t="str">
        <f>IF('F2 - Données facturation'!$J$32=0,"Hide","")</f>
        <v>Hide</v>
      </c>
      <c r="B410" s="432"/>
      <c r="C410" s="432"/>
      <c r="D410" s="432"/>
      <c r="E410" s="432"/>
      <c r="F410" s="432"/>
      <c r="G410" s="432"/>
      <c r="H410" s="432"/>
      <c r="I410" s="432"/>
      <c r="J410" s="432"/>
    </row>
    <row r="411" spans="1:10" ht="18" x14ac:dyDescent="0.3">
      <c r="A411" t="str">
        <f>IF('F2 - Données facturation'!$I$32=0,"Hide","")</f>
        <v>Hide</v>
      </c>
      <c r="B411" s="1027" t="s">
        <v>620</v>
      </c>
      <c r="C411" s="1027"/>
      <c r="D411" s="432"/>
      <c r="E411" s="432"/>
      <c r="F411" s="432"/>
      <c r="G411" s="432"/>
      <c r="H411" s="432"/>
      <c r="I411" s="432"/>
      <c r="J411" s="432"/>
    </row>
    <row r="412" spans="1:10" x14ac:dyDescent="0.3">
      <c r="A412" t="str">
        <f>IF('F2 - Données facturation'!$I$32=0,"Hide","")</f>
        <v>Hide</v>
      </c>
      <c r="B412" s="432"/>
      <c r="C412" s="432"/>
      <c r="D412" s="432"/>
      <c r="E412" s="432"/>
      <c r="F412" s="432"/>
      <c r="G412" s="432"/>
      <c r="H412" s="432"/>
      <c r="I412" s="432"/>
      <c r="J412" s="432"/>
    </row>
    <row r="413" spans="1:10" x14ac:dyDescent="0.3">
      <c r="A413" t="str">
        <f>IF('F2 - Données facturation'!$I$32=0,"Hide","")</f>
        <v>Hide</v>
      </c>
      <c r="B413" s="1017" t="s">
        <v>582</v>
      </c>
      <c r="C413" s="1017"/>
      <c r="D413" s="1017"/>
      <c r="E413" s="1017"/>
      <c r="F413" s="1017"/>
      <c r="G413" s="432"/>
      <c r="H413" s="432"/>
      <c r="I413" s="432"/>
      <c r="J413" s="432"/>
    </row>
    <row r="414" spans="1:10" x14ac:dyDescent="0.3">
      <c r="A414" t="str">
        <f>IF('F2 - Données facturation'!$I$32=0,"Hide","")</f>
        <v>Hide</v>
      </c>
      <c r="B414" s="432"/>
      <c r="C414" s="432"/>
      <c r="D414" s="432"/>
      <c r="E414" s="432"/>
      <c r="F414" s="432"/>
      <c r="G414" s="432"/>
      <c r="H414" s="432"/>
      <c r="I414" s="432"/>
      <c r="J414" s="432"/>
    </row>
    <row r="415" spans="1:10" x14ac:dyDescent="0.3">
      <c r="A415" t="str">
        <f>IF('F2 - Données facturation'!$I$32=0,"Hide","")</f>
        <v>Hide</v>
      </c>
      <c r="B415" s="432"/>
      <c r="C415" s="436" t="s">
        <v>619</v>
      </c>
      <c r="D415" s="432"/>
      <c r="E415" s="432"/>
      <c r="F415" s="432"/>
      <c r="G415" s="432"/>
      <c r="H415" s="432"/>
      <c r="I415" s="432"/>
      <c r="J415" s="432"/>
    </row>
    <row r="416" spans="1:10" x14ac:dyDescent="0.3">
      <c r="A416" t="str">
        <f>IF('F2 - Données facturation'!$I$32=0,"Hide","")</f>
        <v>Hide</v>
      </c>
      <c r="B416" s="432"/>
      <c r="C416" s="432"/>
      <c r="D416" s="432"/>
      <c r="E416" s="432"/>
      <c r="F416" s="432"/>
      <c r="G416" s="432"/>
      <c r="H416" s="432"/>
      <c r="I416" s="432"/>
      <c r="J416" s="432"/>
    </row>
    <row r="417" spans="1:10" x14ac:dyDescent="0.3">
      <c r="A417" t="str">
        <f>IF('F2 - Données facturation'!$I$32=0,"Hide","")</f>
        <v>Hide</v>
      </c>
      <c r="B417" s="432"/>
      <c r="C417" s="432" t="s">
        <v>618</v>
      </c>
      <c r="D417" s="432"/>
      <c r="E417" s="433">
        <f>1.0304*F179</f>
        <v>0</v>
      </c>
      <c r="F417" s="432" t="s">
        <v>533</v>
      </c>
      <c r="G417" s="432"/>
      <c r="H417" s="432"/>
      <c r="I417" s="432"/>
      <c r="J417" s="432"/>
    </row>
    <row r="418" spans="1:10" x14ac:dyDescent="0.3">
      <c r="A418" t="str">
        <f>IF('F2 - Données facturation'!$I$32=0,"Hide","")</f>
        <v>Hide</v>
      </c>
      <c r="B418" s="432"/>
      <c r="C418" s="432"/>
      <c r="D418" s="432"/>
      <c r="E418" s="432"/>
      <c r="F418" s="432"/>
      <c r="G418" s="432"/>
      <c r="H418" s="432"/>
      <c r="I418" s="432"/>
      <c r="J418" s="432"/>
    </row>
    <row r="419" spans="1:10" x14ac:dyDescent="0.3">
      <c r="A419" t="str">
        <f>IF('F2 - Données facturation'!$I$32=0,"Hide","")</f>
        <v>Hide</v>
      </c>
      <c r="B419" s="432"/>
      <c r="C419" s="432"/>
      <c r="D419" s="432"/>
      <c r="E419" s="432"/>
      <c r="F419" s="432"/>
      <c r="G419" s="432"/>
      <c r="H419" s="432"/>
      <c r="I419" s="432"/>
      <c r="J419" s="432"/>
    </row>
    <row r="420" spans="1:10" x14ac:dyDescent="0.3">
      <c r="A420" t="str">
        <f>IF('F2 - Données facturation'!$I$32=0,"Hide","")</f>
        <v>Hide</v>
      </c>
      <c r="B420" s="432"/>
      <c r="C420" s="1016" t="s">
        <v>617</v>
      </c>
      <c r="D420" s="1016"/>
      <c r="E420" s="1016"/>
      <c r="F420" s="1016"/>
      <c r="G420" s="1016"/>
      <c r="H420" s="1016"/>
      <c r="I420" s="432"/>
      <c r="J420" s="432"/>
    </row>
    <row r="421" spans="1:10" x14ac:dyDescent="0.3">
      <c r="A421" t="str">
        <f>IF('F2 - Données facturation'!$I$32=0,"Hide","")</f>
        <v>Hide</v>
      </c>
      <c r="B421" s="432"/>
      <c r="C421" s="432"/>
      <c r="D421" s="432"/>
      <c r="E421" s="432"/>
      <c r="F421" s="432"/>
      <c r="G421" s="432"/>
      <c r="H421" s="432"/>
      <c r="I421" s="432"/>
      <c r="J421" s="432"/>
    </row>
    <row r="422" spans="1:10" x14ac:dyDescent="0.3">
      <c r="A422" t="str">
        <f>IF('F2 - Données facturation'!$I$32=0,"Hide","")</f>
        <v>Hide</v>
      </c>
      <c r="B422" s="432"/>
      <c r="C422" s="433">
        <f>E417</f>
        <v>0</v>
      </c>
      <c r="D422" s="438" t="s">
        <v>533</v>
      </c>
      <c r="E422" s="432"/>
      <c r="F422" s="432"/>
      <c r="G422" s="432"/>
      <c r="H422" s="432"/>
      <c r="I422" s="432"/>
      <c r="J422" s="432"/>
    </row>
    <row r="423" spans="1:10" x14ac:dyDescent="0.3">
      <c r="A423" t="str">
        <f>IF('F2 - Données facturation'!$I$32=0,"Hide","")</f>
        <v>Hide</v>
      </c>
      <c r="B423" s="432"/>
      <c r="C423" s="432"/>
      <c r="D423" s="432"/>
      <c r="E423" s="432"/>
      <c r="F423" s="432"/>
      <c r="G423" s="432"/>
      <c r="H423" s="432"/>
      <c r="I423" s="432"/>
      <c r="J423" s="432"/>
    </row>
    <row r="424" spans="1:10" x14ac:dyDescent="0.3">
      <c r="A424" t="str">
        <f>IF('F2 - Données facturation'!$I$32=0,"Hide","")</f>
        <v>Hide</v>
      </c>
      <c r="B424" s="432"/>
      <c r="C424" s="432"/>
      <c r="D424" s="432"/>
      <c r="E424" s="432"/>
      <c r="F424" s="432"/>
      <c r="G424" s="432"/>
      <c r="H424" s="432"/>
      <c r="I424" s="432"/>
      <c r="J424" s="432"/>
    </row>
    <row r="425" spans="1:10" x14ac:dyDescent="0.3">
      <c r="A425" t="str">
        <f>IF('F2 - Données facturation'!$I$32=0,"Hide","")</f>
        <v>Hide</v>
      </c>
      <c r="B425" s="1017" t="s">
        <v>612</v>
      </c>
      <c r="C425" s="1017"/>
      <c r="D425" s="1017"/>
      <c r="E425" s="1017"/>
      <c r="F425" s="1017"/>
      <c r="G425" s="438"/>
      <c r="H425" s="438"/>
      <c r="I425" s="432"/>
      <c r="J425" s="432"/>
    </row>
    <row r="426" spans="1:10" x14ac:dyDescent="0.3">
      <c r="A426" t="str">
        <f>IF('F2 - Données facturation'!$I$32=0,"Hide","")</f>
        <v>Hide</v>
      </c>
      <c r="B426" s="432"/>
      <c r="C426" s="432"/>
      <c r="D426" s="432"/>
      <c r="E426" s="432"/>
      <c r="F426" s="432"/>
      <c r="G426" s="432"/>
      <c r="H426" s="432"/>
      <c r="I426" s="432"/>
      <c r="J426" s="432"/>
    </row>
    <row r="427" spans="1:10" x14ac:dyDescent="0.3">
      <c r="A427" t="str">
        <f>IF('F2 - Données facturation'!$I$32=0,"Hide","")</f>
        <v>Hide</v>
      </c>
      <c r="B427" s="432"/>
      <c r="C427" s="436" t="s">
        <v>531</v>
      </c>
      <c r="D427" s="432"/>
      <c r="E427" s="432"/>
      <c r="F427" s="432"/>
      <c r="G427" s="432"/>
      <c r="H427" s="432"/>
      <c r="I427" s="432"/>
      <c r="J427" s="432"/>
    </row>
    <row r="428" spans="1:10" x14ac:dyDescent="0.3">
      <c r="A428" t="str">
        <f>IF('F2 - Données facturation'!$I$32=0,"Hide","")</f>
        <v>Hide</v>
      </c>
      <c r="B428" s="432"/>
      <c r="C428" s="432" t="s">
        <v>530</v>
      </c>
      <c r="D428" s="432"/>
      <c r="E428" s="433">
        <f>0.2*C422</f>
        <v>0</v>
      </c>
      <c r="F428" s="432" t="s">
        <v>529</v>
      </c>
      <c r="G428" s="432"/>
      <c r="H428" s="432"/>
      <c r="I428" s="432"/>
      <c r="J428" s="432"/>
    </row>
    <row r="429" spans="1:10" x14ac:dyDescent="0.3">
      <c r="A429" t="str">
        <f>IF('F2 - Données facturation'!$I$32=0,"Hide","")</f>
        <v>Hide</v>
      </c>
      <c r="B429" s="432"/>
      <c r="C429" s="432" t="s">
        <v>528</v>
      </c>
      <c r="D429" s="432"/>
      <c r="E429" s="435">
        <f>E428*40</f>
        <v>0</v>
      </c>
      <c r="F429" s="432" t="s">
        <v>527</v>
      </c>
      <c r="G429" s="432"/>
      <c r="H429" s="432"/>
      <c r="I429" s="432"/>
      <c r="J429" s="432"/>
    </row>
    <row r="430" spans="1:10" x14ac:dyDescent="0.3">
      <c r="A430" t="str">
        <f>IF('F2 - Données facturation'!$I$32=0,"Hide","")</f>
        <v>Hide</v>
      </c>
      <c r="B430" s="432"/>
      <c r="C430" s="432"/>
      <c r="D430" s="432"/>
      <c r="E430" s="432"/>
      <c r="F430" s="432"/>
      <c r="G430" s="432"/>
      <c r="H430" s="432"/>
      <c r="I430" s="432"/>
      <c r="J430" s="432"/>
    </row>
    <row r="431" spans="1:10" x14ac:dyDescent="0.3">
      <c r="A431" t="str">
        <f>IF('F2 - Données facturation'!$I$32=0,"Hide","")</f>
        <v>Hide</v>
      </c>
      <c r="B431" s="432"/>
      <c r="C431" s="432"/>
      <c r="D431" s="432"/>
      <c r="E431" s="432"/>
      <c r="F431" s="432"/>
      <c r="G431" s="432"/>
      <c r="H431" s="432"/>
      <c r="I431" s="432"/>
      <c r="J431" s="432"/>
    </row>
    <row r="432" spans="1:10" x14ac:dyDescent="0.3">
      <c r="A432" t="str">
        <f>IF('F2 - Données facturation'!$I$32=0,"Hide","")</f>
        <v>Hide</v>
      </c>
      <c r="B432" s="432"/>
      <c r="C432" s="432"/>
      <c r="D432" s="432"/>
      <c r="E432" s="432"/>
      <c r="F432" s="432"/>
      <c r="G432" s="432"/>
      <c r="H432" s="432"/>
      <c r="I432" s="432"/>
      <c r="J432" s="432"/>
    </row>
    <row r="433" spans="1:10" x14ac:dyDescent="0.3">
      <c r="A433" t="str">
        <f>IF('F2 - Données facturation'!$I$32=0,"Hide","")</f>
        <v>Hide</v>
      </c>
      <c r="B433" s="432"/>
      <c r="C433" s="432" t="s">
        <v>526</v>
      </c>
      <c r="D433" s="432"/>
      <c r="E433" s="432"/>
      <c r="F433" s="432"/>
      <c r="G433" s="432"/>
      <c r="H433" s="432"/>
      <c r="I433" s="432"/>
      <c r="J433" s="432"/>
    </row>
    <row r="434" spans="1:10" x14ac:dyDescent="0.3">
      <c r="A434" t="str">
        <f>IF('F2 - Données facturation'!$I$32=0,"Hide","")</f>
        <v>Hide</v>
      </c>
      <c r="B434" s="432"/>
      <c r="C434" s="1009" t="s">
        <v>525</v>
      </c>
      <c r="D434" s="1009"/>
      <c r="E434" s="1009"/>
      <c r="F434" s="1009"/>
      <c r="G434" s="1009"/>
      <c r="H434" s="1009"/>
      <c r="I434" s="432"/>
      <c r="J434" s="432"/>
    </row>
    <row r="435" spans="1:10" x14ac:dyDescent="0.3">
      <c r="A435" t="str">
        <f>IF('F2 - Données facturation'!$I$32=0,"Hide","")</f>
        <v>Hide</v>
      </c>
      <c r="B435" s="432"/>
      <c r="C435" s="432"/>
      <c r="D435" s="432"/>
      <c r="E435" s="432"/>
      <c r="F435" s="432"/>
      <c r="G435" s="432"/>
      <c r="H435" s="432"/>
      <c r="I435" s="432"/>
      <c r="J435" s="432"/>
    </row>
    <row r="436" spans="1:10" x14ac:dyDescent="0.3">
      <c r="A436" t="str">
        <f>IF('F2 - Données facturation'!$I$32=0,"Hide","")</f>
        <v>Hide</v>
      </c>
      <c r="B436" s="432"/>
      <c r="C436" s="435" t="s">
        <v>524</v>
      </c>
      <c r="D436" s="432"/>
      <c r="E436" s="432"/>
      <c r="F436" s="432"/>
      <c r="G436" s="432"/>
      <c r="H436" s="432"/>
      <c r="I436" s="432"/>
      <c r="J436" s="432"/>
    </row>
    <row r="437" spans="1:10" x14ac:dyDescent="0.3">
      <c r="A437" t="str">
        <f>IF('F2 - Données facturation'!$I$32=0,"Hide","")</f>
        <v>Hide</v>
      </c>
      <c r="B437" s="432"/>
      <c r="C437" s="433">
        <f>C422-E428</f>
        <v>0</v>
      </c>
      <c r="D437" s="432" t="s">
        <v>523</v>
      </c>
      <c r="E437" s="432"/>
      <c r="F437" s="432"/>
      <c r="G437" s="432"/>
      <c r="H437" s="432"/>
      <c r="I437" s="432"/>
      <c r="J437" s="432"/>
    </row>
    <row r="438" spans="1:10" ht="15" thickBot="1" x14ac:dyDescent="0.35">
      <c r="A438" t="str">
        <f>IF('F2 - Données facturation'!$I$32=0,"Hide","")</f>
        <v>Hide</v>
      </c>
      <c r="B438" s="432"/>
      <c r="C438" s="432"/>
      <c r="D438" s="432"/>
      <c r="E438" s="432"/>
      <c r="F438" s="432"/>
      <c r="G438" s="432"/>
      <c r="H438" s="432"/>
      <c r="I438" s="432"/>
      <c r="J438" s="432"/>
    </row>
    <row r="439" spans="1:10" x14ac:dyDescent="0.3">
      <c r="A439" t="str">
        <f>IF('F2 - Données facturation'!$I$32=0,"Hide","")</f>
        <v>Hide</v>
      </c>
      <c r="B439" s="467" t="s">
        <v>611</v>
      </c>
      <c r="C439" s="274"/>
      <c r="D439" s="466"/>
      <c r="E439" s="466"/>
      <c r="F439" s="465"/>
      <c r="G439" s="432"/>
      <c r="H439" s="432"/>
      <c r="I439" s="432"/>
      <c r="J439" s="432"/>
    </row>
    <row r="440" spans="1:10" x14ac:dyDescent="0.3">
      <c r="A440" t="str">
        <f>IF('F2 - Données facturation'!$I$32=0,"Hide","")</f>
        <v>Hide</v>
      </c>
      <c r="B440" s="212"/>
      <c r="C440" s="464" t="s">
        <v>610</v>
      </c>
      <c r="D440" s="432"/>
      <c r="E440" s="432"/>
      <c r="F440" s="463"/>
      <c r="G440" s="432"/>
      <c r="H440" s="432"/>
      <c r="I440" s="432"/>
      <c r="J440" s="432"/>
    </row>
    <row r="441" spans="1:10" x14ac:dyDescent="0.3">
      <c r="A441" t="str">
        <f>IF('F2 - Données facturation'!$I$32=0,"Hide","")</f>
        <v>Hide</v>
      </c>
      <c r="B441" s="212"/>
      <c r="C441" s="464" t="s">
        <v>609</v>
      </c>
      <c r="D441" s="432"/>
      <c r="E441" s="432"/>
      <c r="F441" s="463"/>
      <c r="G441" s="432"/>
      <c r="H441" s="432"/>
      <c r="I441" s="432"/>
      <c r="J441" s="432"/>
    </row>
    <row r="442" spans="1:10" x14ac:dyDescent="0.3">
      <c r="A442" t="str">
        <f>IF('F2 - Données facturation'!$I$32=0,"Hide","")</f>
        <v>Hide</v>
      </c>
      <c r="B442" s="212"/>
      <c r="C442" s="464" t="s">
        <v>608</v>
      </c>
      <c r="D442" s="432"/>
      <c r="E442" s="432"/>
      <c r="F442" s="463"/>
      <c r="G442" s="432"/>
      <c r="H442" s="432"/>
      <c r="I442" s="432"/>
      <c r="J442" s="432"/>
    </row>
    <row r="443" spans="1:10" x14ac:dyDescent="0.3">
      <c r="A443" t="str">
        <f>IF('F2 - Données facturation'!$I$32=0,"Hide","")</f>
        <v>Hide</v>
      </c>
      <c r="B443" s="212"/>
      <c r="C443" s="464" t="s">
        <v>607</v>
      </c>
      <c r="D443" s="432"/>
      <c r="E443" s="432"/>
      <c r="F443" s="463"/>
      <c r="G443" s="432"/>
      <c r="H443" s="432"/>
      <c r="I443" s="432"/>
      <c r="J443" s="432"/>
    </row>
    <row r="444" spans="1:10" x14ac:dyDescent="0.3">
      <c r="A444" t="str">
        <f>IF('F2 - Données facturation'!$I$32=0,"Hide","")</f>
        <v>Hide</v>
      </c>
      <c r="B444" s="212"/>
      <c r="C444" s="464" t="s">
        <v>606</v>
      </c>
      <c r="D444" s="432"/>
      <c r="E444" s="432"/>
      <c r="F444" s="463"/>
      <c r="G444" s="432"/>
      <c r="H444" s="432"/>
      <c r="I444" s="432"/>
      <c r="J444" s="432"/>
    </row>
    <row r="445" spans="1:10" x14ac:dyDescent="0.3">
      <c r="A445" t="str">
        <f>IF('F2 - Données facturation'!$I$32=0,"Hide","")</f>
        <v>Hide</v>
      </c>
      <c r="B445" s="212"/>
      <c r="C445" s="464" t="s">
        <v>605</v>
      </c>
      <c r="D445" s="432"/>
      <c r="E445" s="432"/>
      <c r="F445" s="463"/>
      <c r="G445" s="432"/>
      <c r="H445" s="432"/>
      <c r="I445" s="432"/>
      <c r="J445" s="432"/>
    </row>
    <row r="446" spans="1:10" ht="15" thickBot="1" x14ac:dyDescent="0.35">
      <c r="A446" t="str">
        <f>IF('F2 - Données facturation'!$I$32=0,"Hide","")</f>
        <v>Hide</v>
      </c>
      <c r="B446" s="407"/>
      <c r="C446" s="462" t="s">
        <v>604</v>
      </c>
      <c r="D446" s="461"/>
      <c r="E446" s="461"/>
      <c r="F446" s="460"/>
      <c r="G446" s="432"/>
      <c r="H446" s="432"/>
      <c r="I446" s="432"/>
      <c r="J446" s="432"/>
    </row>
    <row r="447" spans="1:10" x14ac:dyDescent="0.3">
      <c r="A447" t="str">
        <f>IF('F2 - Données facturation'!$I$32=0,"Hide","")</f>
        <v>Hide</v>
      </c>
      <c r="B447" s="432"/>
      <c r="C447" s="432"/>
      <c r="D447" s="432"/>
      <c r="E447" s="432"/>
      <c r="F447" s="432"/>
      <c r="G447" s="432"/>
      <c r="H447" s="432"/>
      <c r="I447" s="432"/>
      <c r="J447" s="432"/>
    </row>
    <row r="448" spans="1:10" x14ac:dyDescent="0.3">
      <c r="A448" t="str">
        <f>IF('F2 - Données facturation'!$I$32=0,"Hide","")</f>
        <v>Hide</v>
      </c>
      <c r="B448" s="432"/>
      <c r="C448" s="432" t="s">
        <v>603</v>
      </c>
      <c r="D448" s="433">
        <f>C422</f>
        <v>0</v>
      </c>
      <c r="E448" s="432"/>
      <c r="F448" s="432"/>
      <c r="G448" s="432"/>
      <c r="H448" s="432"/>
      <c r="I448" s="432"/>
      <c r="J448" s="432"/>
    </row>
    <row r="449" spans="1:10" x14ac:dyDescent="0.3">
      <c r="A449" t="str">
        <f>IF('F2 - Données facturation'!$I$32=0,"Hide","")</f>
        <v>Hide</v>
      </c>
      <c r="B449" s="432"/>
      <c r="C449" s="433">
        <f>D448*0.16</f>
        <v>0</v>
      </c>
      <c r="D449" s="432" t="s">
        <v>521</v>
      </c>
      <c r="E449" s="432"/>
      <c r="F449" s="432"/>
      <c r="G449" s="432"/>
      <c r="H449" s="432"/>
      <c r="I449" s="432"/>
      <c r="J449" s="432"/>
    </row>
    <row r="450" spans="1:10" ht="15" thickBot="1" x14ac:dyDescent="0.35">
      <c r="A450" t="str">
        <f>IF('F2 - Données facturation'!$I$32=0,"Hide","")</f>
        <v>Hide</v>
      </c>
      <c r="B450" s="432"/>
      <c r="C450" s="432"/>
      <c r="D450" s="432"/>
      <c r="E450" s="432"/>
      <c r="F450" s="432"/>
      <c r="G450" s="432"/>
      <c r="H450" s="432"/>
      <c r="I450" s="432"/>
      <c r="J450" s="432"/>
    </row>
    <row r="451" spans="1:10" ht="15" thickBot="1" x14ac:dyDescent="0.35">
      <c r="A451" t="str">
        <f>IF('F2 - Données facturation'!$I$32=0,"Hide","")</f>
        <v>Hide</v>
      </c>
      <c r="B451" s="1024" t="s">
        <v>616</v>
      </c>
      <c r="C451" s="1025"/>
      <c r="D451" s="1025"/>
      <c r="E451" s="1025"/>
      <c r="F451" s="1026"/>
      <c r="G451" s="432"/>
      <c r="H451" s="432"/>
      <c r="I451" s="432"/>
      <c r="J451" s="432"/>
    </row>
    <row r="452" spans="1:10" x14ac:dyDescent="0.3">
      <c r="A452" t="str">
        <f>IF('F2 - Données facturation'!$I$32=0,"Hide","")</f>
        <v>Hide</v>
      </c>
      <c r="B452" s="432"/>
      <c r="C452" s="432"/>
      <c r="D452" s="432"/>
      <c r="E452" s="432"/>
      <c r="F452" s="432"/>
      <c r="G452" s="432"/>
      <c r="H452" s="432"/>
      <c r="I452" s="432"/>
      <c r="J452" s="432"/>
    </row>
    <row r="453" spans="1:10" x14ac:dyDescent="0.3">
      <c r="A453" t="str">
        <f>IF('F2 - Données facturation'!$I$32=0,"Hide","")</f>
        <v>Hide</v>
      </c>
      <c r="B453" s="432"/>
      <c r="C453" s="432"/>
      <c r="D453" s="432"/>
      <c r="E453" s="432"/>
      <c r="F453" s="432"/>
      <c r="G453" s="432"/>
      <c r="H453" s="432"/>
      <c r="I453" s="432"/>
      <c r="J453" s="432"/>
    </row>
    <row r="454" spans="1:10" x14ac:dyDescent="0.3">
      <c r="A454" t="str">
        <f>IF('F2 - Données facturation'!$I$32=0,"Hide","")</f>
        <v>Hide</v>
      </c>
      <c r="B454" s="432"/>
      <c r="C454" s="434" t="s">
        <v>615</v>
      </c>
      <c r="D454" s="433">
        <f>C422</f>
        <v>0</v>
      </c>
      <c r="E454" s="432"/>
      <c r="F454" s="432"/>
      <c r="G454" s="432"/>
      <c r="H454" s="432"/>
      <c r="I454" s="432"/>
      <c r="J454" s="432"/>
    </row>
    <row r="455" spans="1:10" x14ac:dyDescent="0.3">
      <c r="A455" t="str">
        <f>IF('F2 - Données facturation'!$I$32=0,"Hide","")</f>
        <v>Hide</v>
      </c>
      <c r="B455" s="432"/>
      <c r="C455" s="433">
        <f>D454*0.32</f>
        <v>0</v>
      </c>
      <c r="D455" s="432" t="s">
        <v>518</v>
      </c>
      <c r="E455" s="432"/>
      <c r="F455" s="432"/>
      <c r="G455" s="432"/>
      <c r="H455" s="432"/>
      <c r="I455" s="432"/>
      <c r="J455" s="432"/>
    </row>
    <row r="456" spans="1:10" ht="15" thickBot="1" x14ac:dyDescent="0.35">
      <c r="A456" t="str">
        <f>IF('F2 - Données facturation'!$I$32=0,"Hide","")</f>
        <v>Hide</v>
      </c>
      <c r="B456" s="432"/>
      <c r="C456" s="432"/>
      <c r="D456" s="432"/>
      <c r="E456" s="432"/>
      <c r="F456" s="432"/>
      <c r="G456" s="432"/>
      <c r="H456" s="432"/>
      <c r="I456" s="432"/>
      <c r="J456" s="432"/>
    </row>
    <row r="457" spans="1:10" ht="15" thickBot="1" x14ac:dyDescent="0.35">
      <c r="A457" t="str">
        <f>IF('F2 - Données facturation'!$I$32=0,"Hide","")</f>
        <v>Hide</v>
      </c>
      <c r="B457" s="1024" t="s">
        <v>600</v>
      </c>
      <c r="C457" s="1025"/>
      <c r="D457" s="1025"/>
      <c r="E457" s="1025"/>
      <c r="F457" s="1026"/>
      <c r="G457" s="432"/>
      <c r="H457" s="432"/>
      <c r="I457" s="432"/>
      <c r="J457" s="432"/>
    </row>
    <row r="458" spans="1:10" x14ac:dyDescent="0.3">
      <c r="A458" t="str">
        <f>IF('F2 - Données facturation'!$I$32=0,"Hide","")</f>
        <v>Hide</v>
      </c>
      <c r="B458" s="432"/>
      <c r="C458" s="432"/>
      <c r="D458" s="432"/>
      <c r="E458" s="432"/>
      <c r="F458" s="432"/>
      <c r="G458" s="432"/>
      <c r="H458" s="432"/>
      <c r="I458" s="432"/>
      <c r="J458" s="432"/>
    </row>
    <row r="459" spans="1:10" x14ac:dyDescent="0.3">
      <c r="A459" t="str">
        <f>IF('F2 - Données facturation'!$I$32=0,"Hide","")</f>
        <v>Hide</v>
      </c>
      <c r="B459" s="432"/>
      <c r="C459" s="1018" t="s">
        <v>517</v>
      </c>
      <c r="D459" s="1018"/>
      <c r="E459" s="1018"/>
      <c r="F459" s="433">
        <f>C437</f>
        <v>0</v>
      </c>
      <c r="G459" s="432" t="s">
        <v>56</v>
      </c>
      <c r="H459" s="432"/>
      <c r="I459" s="432"/>
      <c r="J459" s="432"/>
    </row>
    <row r="460" spans="1:10" x14ac:dyDescent="0.3">
      <c r="A460" t="str">
        <f>IF('F2 - Données facturation'!$I$32=0,"Hide","")</f>
        <v>Hide</v>
      </c>
      <c r="B460" s="432"/>
      <c r="C460" s="1018" t="s">
        <v>573</v>
      </c>
      <c r="D460" s="1018"/>
      <c r="E460" s="1018"/>
      <c r="F460" s="433">
        <f>C449</f>
        <v>0</v>
      </c>
      <c r="G460" s="432" t="s">
        <v>56</v>
      </c>
      <c r="H460" s="432"/>
      <c r="I460" s="432"/>
      <c r="J460" s="432"/>
    </row>
    <row r="461" spans="1:10" x14ac:dyDescent="0.3">
      <c r="A461" t="str">
        <f>IF('F2 - Données facturation'!$I$32=0,"Hide","")</f>
        <v>Hide</v>
      </c>
      <c r="B461" s="432"/>
      <c r="C461" s="1018" t="s">
        <v>572</v>
      </c>
      <c r="D461" s="1018"/>
      <c r="E461" s="1018"/>
      <c r="F461" s="433">
        <f>C455</f>
        <v>0</v>
      </c>
      <c r="G461" s="432" t="s">
        <v>56</v>
      </c>
      <c r="H461" s="432"/>
      <c r="I461" s="432"/>
      <c r="J461" s="432"/>
    </row>
    <row r="462" spans="1:10" x14ac:dyDescent="0.3">
      <c r="A462" t="str">
        <f>IF('F2 - Données facturation'!$I$32=0,"Hide","")</f>
        <v>Hide</v>
      </c>
      <c r="B462" s="432"/>
      <c r="C462" s="432"/>
      <c r="D462" s="432"/>
      <c r="E462" s="432"/>
      <c r="F462" s="432"/>
      <c r="G462" s="432"/>
      <c r="H462" s="432"/>
      <c r="I462" s="432"/>
      <c r="J462" s="432"/>
    </row>
    <row r="463" spans="1:10" ht="15.6" x14ac:dyDescent="0.3">
      <c r="A463" t="str">
        <f>IF('F2 - Données facturation'!$I$32=0,"Hide","")</f>
        <v>Hide</v>
      </c>
      <c r="B463" s="432"/>
      <c r="C463" s="1019" t="s">
        <v>571</v>
      </c>
      <c r="D463" s="1018"/>
      <c r="E463" s="1018"/>
      <c r="F463" s="433">
        <f>F459-F460-F461</f>
        <v>0</v>
      </c>
      <c r="G463" s="432" t="s">
        <v>56</v>
      </c>
      <c r="H463" s="432"/>
      <c r="I463" s="432"/>
      <c r="J463" s="432"/>
    </row>
    <row r="464" spans="1:10" x14ac:dyDescent="0.3">
      <c r="A464" t="str">
        <f>IF('F2 - Données facturation'!$I$32=0,"Hide","")</f>
        <v>Hide</v>
      </c>
      <c r="B464" s="432"/>
      <c r="C464" s="432"/>
      <c r="D464" s="432"/>
      <c r="E464" s="432"/>
      <c r="F464" s="432"/>
      <c r="G464" s="432"/>
      <c r="H464" s="432"/>
      <c r="I464" s="432"/>
      <c r="J464" s="432"/>
    </row>
    <row r="465" spans="1:10" x14ac:dyDescent="0.3">
      <c r="A465" t="str">
        <f>IF('F2 - Données facturation'!$I$32=0,"Hide","")</f>
        <v>Hide</v>
      </c>
      <c r="B465" s="432"/>
      <c r="C465" s="432"/>
      <c r="D465" s="432"/>
      <c r="E465" s="432"/>
      <c r="F465" s="432"/>
      <c r="G465" s="432"/>
      <c r="H465" s="432"/>
      <c r="I465" s="432"/>
      <c r="J465" s="432"/>
    </row>
    <row r="466" spans="1:10" ht="18" x14ac:dyDescent="0.3">
      <c r="A466" t="str">
        <f>IF('F2 - Données facturation'!$K$32=0,"Hide","")</f>
        <v>Hide</v>
      </c>
      <c r="B466" s="1027" t="s">
        <v>614</v>
      </c>
      <c r="C466" s="1027"/>
      <c r="D466" s="432"/>
      <c r="E466" s="432"/>
      <c r="F466" s="432"/>
      <c r="G466" s="432"/>
      <c r="H466" s="432"/>
      <c r="I466" s="432"/>
      <c r="J466" s="432"/>
    </row>
    <row r="467" spans="1:10" x14ac:dyDescent="0.3">
      <c r="A467" t="str">
        <f>IF('F2 - Données facturation'!$K$32=0,"Hide","")</f>
        <v>Hide</v>
      </c>
      <c r="B467" s="432"/>
      <c r="C467" s="432"/>
      <c r="D467" s="432"/>
      <c r="E467" s="432"/>
      <c r="F467" s="432"/>
      <c r="G467" s="432"/>
      <c r="H467" s="432"/>
      <c r="I467" s="432"/>
      <c r="J467" s="432"/>
    </row>
    <row r="468" spans="1:10" x14ac:dyDescent="0.3">
      <c r="A468" t="str">
        <f>IF('F2 - Données facturation'!$K$32=0,"Hide","")</f>
        <v>Hide</v>
      </c>
      <c r="B468" s="1017" t="s">
        <v>582</v>
      </c>
      <c r="C468" s="1017"/>
      <c r="D468" s="1017"/>
      <c r="E468" s="1017"/>
      <c r="F468" s="1017"/>
      <c r="G468" s="432"/>
      <c r="H468" s="432"/>
      <c r="I468" s="432"/>
      <c r="J468" s="432"/>
    </row>
    <row r="469" spans="1:10" x14ac:dyDescent="0.3">
      <c r="A469" t="str">
        <f>IF('F2 - Données facturation'!$K$32=0,"Hide","")</f>
        <v>Hide</v>
      </c>
      <c r="B469" s="432"/>
      <c r="C469" s="432"/>
      <c r="D469" s="432"/>
      <c r="E469" s="432"/>
      <c r="F469" s="432"/>
      <c r="G469" s="432"/>
      <c r="H469" s="432"/>
      <c r="I469" s="432"/>
      <c r="J469" s="432"/>
    </row>
    <row r="470" spans="1:10" x14ac:dyDescent="0.3">
      <c r="A470" t="str">
        <f>IF('F2 - Données facturation'!$K$32=0,"Hide","")</f>
        <v>Hide</v>
      </c>
      <c r="B470" s="432"/>
      <c r="C470" s="436" t="s">
        <v>741</v>
      </c>
      <c r="D470" s="432"/>
      <c r="E470" s="253"/>
      <c r="F470" s="314"/>
      <c r="G470" s="432"/>
      <c r="H470" s="432"/>
      <c r="I470" s="432"/>
      <c r="J470" s="432"/>
    </row>
    <row r="471" spans="1:10" x14ac:dyDescent="0.3">
      <c r="A471" t="str">
        <f>IF('F2 - Données facturation'!$K$32=0,"Hide","")</f>
        <v>Hide</v>
      </c>
      <c r="B471" s="432"/>
      <c r="C471" s="432"/>
      <c r="D471" s="432"/>
      <c r="E471" s="432"/>
      <c r="F471" s="432"/>
      <c r="G471" s="432"/>
      <c r="H471" s="432"/>
      <c r="I471" s="432"/>
      <c r="J471" s="432"/>
    </row>
    <row r="472" spans="1:10" x14ac:dyDescent="0.3">
      <c r="A472" t="str">
        <f>IF('F2 - Données facturation'!$K$32=0,"Hide","")</f>
        <v>Hide</v>
      </c>
      <c r="B472" s="432"/>
      <c r="C472" s="432" t="s">
        <v>742</v>
      </c>
      <c r="D472" s="432"/>
      <c r="E472" s="473">
        <f>1.39*K179</f>
        <v>0</v>
      </c>
      <c r="F472" s="432" t="s">
        <v>533</v>
      </c>
      <c r="G472" s="432"/>
      <c r="H472" s="432"/>
      <c r="I472" s="432"/>
      <c r="J472" s="432"/>
    </row>
    <row r="473" spans="1:10" x14ac:dyDescent="0.3">
      <c r="A473" t="str">
        <f>IF('F2 - Données facturation'!$K$32=0,"Hide","")</f>
        <v>Hide</v>
      </c>
      <c r="B473" s="432"/>
      <c r="C473" s="432"/>
      <c r="D473" s="432"/>
      <c r="E473" s="432"/>
      <c r="F473" s="432"/>
      <c r="G473" s="432"/>
      <c r="H473" s="432"/>
      <c r="I473" s="432"/>
      <c r="J473" s="432"/>
    </row>
    <row r="474" spans="1:10" x14ac:dyDescent="0.3">
      <c r="A474" t="str">
        <f>IF('F2 - Données facturation'!$K$32=0,"Hide","")</f>
        <v>Hide</v>
      </c>
      <c r="B474" s="432"/>
      <c r="C474" s="432"/>
      <c r="D474" s="432"/>
      <c r="E474" s="432"/>
      <c r="F474" s="432"/>
      <c r="G474" s="432"/>
      <c r="H474" s="432"/>
      <c r="I474" s="432"/>
      <c r="J474" s="432"/>
    </row>
    <row r="475" spans="1:10" x14ac:dyDescent="0.3">
      <c r="A475" t="str">
        <f>IF('F2 - Données facturation'!$K$32=0,"Hide","")</f>
        <v>Hide</v>
      </c>
      <c r="B475" s="432"/>
      <c r="C475" s="1016" t="s">
        <v>613</v>
      </c>
      <c r="D475" s="1016"/>
      <c r="E475" s="1016"/>
      <c r="F475" s="1016"/>
      <c r="G475" s="1016"/>
      <c r="H475" s="1016"/>
      <c r="I475" s="432"/>
      <c r="J475" s="432"/>
    </row>
    <row r="476" spans="1:10" x14ac:dyDescent="0.3">
      <c r="A476" t="str">
        <f>IF('F2 - Données facturation'!$K$32=0,"Hide","")</f>
        <v>Hide</v>
      </c>
      <c r="B476" s="432"/>
      <c r="C476" s="432"/>
      <c r="D476" s="432"/>
      <c r="E476" s="432"/>
      <c r="F476" s="432"/>
      <c r="G476" s="432"/>
      <c r="H476" s="432"/>
      <c r="I476" s="432"/>
      <c r="J476" s="432"/>
    </row>
    <row r="477" spans="1:10" x14ac:dyDescent="0.3">
      <c r="A477" t="str">
        <f>IF('F2 - Données facturation'!$K$32=0,"Hide","")</f>
        <v>Hide</v>
      </c>
      <c r="B477" s="432"/>
      <c r="C477" s="433">
        <f>E472</f>
        <v>0</v>
      </c>
      <c r="D477" s="438" t="s">
        <v>533</v>
      </c>
      <c r="E477" s="432"/>
      <c r="F477" s="432"/>
      <c r="G477" s="432"/>
      <c r="H477" s="432"/>
      <c r="I477" s="432"/>
      <c r="J477" s="432"/>
    </row>
    <row r="478" spans="1:10" x14ac:dyDescent="0.3">
      <c r="A478" t="str">
        <f>IF('F2 - Données facturation'!$K$32=0,"Hide","")</f>
        <v>Hide</v>
      </c>
      <c r="B478" s="432"/>
      <c r="C478" s="432"/>
      <c r="D478" s="432"/>
      <c r="E478" s="432"/>
      <c r="F478" s="432"/>
      <c r="G478" s="432"/>
      <c r="H478" s="432"/>
      <c r="I478" s="432"/>
      <c r="J478" s="432"/>
    </row>
    <row r="479" spans="1:10" x14ac:dyDescent="0.3">
      <c r="A479" t="str">
        <f>IF('F2 - Données facturation'!$K$32=0,"Hide","")</f>
        <v>Hide</v>
      </c>
      <c r="B479" s="432"/>
      <c r="C479" s="432"/>
      <c r="D479" s="432"/>
      <c r="E479" s="432"/>
      <c r="F479" s="432"/>
      <c r="G479" s="432"/>
      <c r="H479" s="432"/>
      <c r="I479" s="432"/>
      <c r="J479" s="432"/>
    </row>
    <row r="480" spans="1:10" x14ac:dyDescent="0.3">
      <c r="A480" t="str">
        <f>IF('F2 - Données facturation'!$K$32=0,"Hide","")</f>
        <v>Hide</v>
      </c>
      <c r="B480" s="1017" t="s">
        <v>612</v>
      </c>
      <c r="C480" s="1017"/>
      <c r="D480" s="1017"/>
      <c r="E480" s="1017"/>
      <c r="F480" s="1017"/>
      <c r="G480" s="438"/>
      <c r="H480" s="438"/>
      <c r="I480" s="432"/>
      <c r="J480" s="432"/>
    </row>
    <row r="481" spans="1:10" x14ac:dyDescent="0.3">
      <c r="A481" t="str">
        <f>IF('F2 - Données facturation'!$K$32=0,"Hide","")</f>
        <v>Hide</v>
      </c>
      <c r="B481" s="432"/>
      <c r="C481" s="432"/>
      <c r="D481" s="432"/>
      <c r="E481" s="432"/>
      <c r="F481" s="432"/>
      <c r="G481" s="432"/>
      <c r="H481" s="432"/>
      <c r="I481" s="432"/>
      <c r="J481" s="432"/>
    </row>
    <row r="482" spans="1:10" x14ac:dyDescent="0.3">
      <c r="A482" t="str">
        <f>IF('F2 - Données facturation'!$K$32=0,"Hide","")</f>
        <v>Hide</v>
      </c>
      <c r="B482" s="432"/>
      <c r="C482" s="436" t="s">
        <v>531</v>
      </c>
      <c r="D482" s="432"/>
      <c r="E482" s="432"/>
      <c r="F482" s="432"/>
      <c r="G482" s="432"/>
      <c r="H482" s="432"/>
      <c r="I482" s="432"/>
      <c r="J482" s="432"/>
    </row>
    <row r="483" spans="1:10" x14ac:dyDescent="0.3">
      <c r="A483" t="str">
        <f>IF('F2 - Données facturation'!$K$32=0,"Hide","")</f>
        <v>Hide</v>
      </c>
      <c r="B483" s="432"/>
      <c r="C483" s="432" t="s">
        <v>530</v>
      </c>
      <c r="D483" s="432"/>
      <c r="E483" s="433">
        <f>0.2*C477</f>
        <v>0</v>
      </c>
      <c r="F483" s="432" t="s">
        <v>529</v>
      </c>
      <c r="G483" s="432"/>
      <c r="H483" s="432"/>
      <c r="I483" s="432"/>
      <c r="J483" s="432"/>
    </row>
    <row r="484" spans="1:10" x14ac:dyDescent="0.3">
      <c r="A484" t="str">
        <f>IF('F2 - Données facturation'!$K$32=0,"Hide","")</f>
        <v>Hide</v>
      </c>
      <c r="B484" s="432"/>
      <c r="C484" s="432" t="s">
        <v>528</v>
      </c>
      <c r="D484" s="432"/>
      <c r="E484" s="435">
        <f>E483*40</f>
        <v>0</v>
      </c>
      <c r="F484" s="432" t="s">
        <v>527</v>
      </c>
      <c r="G484" s="432"/>
      <c r="H484" s="432"/>
      <c r="I484" s="432"/>
      <c r="J484" s="432"/>
    </row>
    <row r="485" spans="1:10" x14ac:dyDescent="0.3">
      <c r="A485" t="str">
        <f>IF('F2 - Données facturation'!$K$32=0,"Hide","")</f>
        <v>Hide</v>
      </c>
      <c r="B485" s="432"/>
      <c r="C485" s="432"/>
      <c r="D485" s="432"/>
      <c r="E485" s="432"/>
      <c r="F485" s="432"/>
      <c r="G485" s="432"/>
      <c r="H485" s="432"/>
      <c r="I485" s="432"/>
      <c r="J485" s="432"/>
    </row>
    <row r="486" spans="1:10" x14ac:dyDescent="0.3">
      <c r="A486" t="str">
        <f>IF('F2 - Données facturation'!$K$32=0,"Hide","")</f>
        <v>Hide</v>
      </c>
      <c r="B486" s="432"/>
      <c r="C486" s="432"/>
      <c r="D486" s="432"/>
      <c r="E486" s="432"/>
      <c r="F486" s="432"/>
      <c r="G486" s="432"/>
      <c r="H486" s="432"/>
      <c r="I486" s="432"/>
      <c r="J486" s="432"/>
    </row>
    <row r="487" spans="1:10" x14ac:dyDescent="0.3">
      <c r="A487" t="str">
        <f>IF('F2 - Données facturation'!$K$32=0,"Hide","")</f>
        <v>Hide</v>
      </c>
      <c r="B487" s="432"/>
      <c r="C487" s="432"/>
      <c r="D487" s="432"/>
      <c r="E487" s="432"/>
      <c r="F487" s="432"/>
      <c r="G487" s="432"/>
      <c r="H487" s="432"/>
      <c r="I487" s="432"/>
      <c r="J487" s="432"/>
    </row>
    <row r="488" spans="1:10" x14ac:dyDescent="0.3">
      <c r="A488" t="str">
        <f>IF('F2 - Données facturation'!$K$32=0,"Hide","")</f>
        <v>Hide</v>
      </c>
      <c r="B488" s="432"/>
      <c r="C488" s="432" t="s">
        <v>526</v>
      </c>
      <c r="D488" s="432"/>
      <c r="E488" s="432"/>
      <c r="F488" s="432"/>
      <c r="G488" s="432"/>
      <c r="H488" s="432"/>
      <c r="I488" s="432"/>
      <c r="J488" s="432"/>
    </row>
    <row r="489" spans="1:10" x14ac:dyDescent="0.3">
      <c r="A489" t="str">
        <f>IF('F2 - Données facturation'!$K$32=0,"Hide","")</f>
        <v>Hide</v>
      </c>
      <c r="B489" s="432"/>
      <c r="C489" s="1009" t="s">
        <v>525</v>
      </c>
      <c r="D489" s="1009"/>
      <c r="E489" s="1009"/>
      <c r="F489" s="1009"/>
      <c r="G489" s="1009"/>
      <c r="H489" s="1009"/>
      <c r="I489" s="432"/>
      <c r="J489" s="432"/>
    </row>
    <row r="490" spans="1:10" x14ac:dyDescent="0.3">
      <c r="A490" t="str">
        <f>IF('F2 - Données facturation'!$K$32=0,"Hide","")</f>
        <v>Hide</v>
      </c>
      <c r="B490" s="432"/>
      <c r="C490" s="432"/>
      <c r="D490" s="432"/>
      <c r="E490" s="432"/>
      <c r="F490" s="432"/>
      <c r="G490" s="432"/>
      <c r="H490" s="432"/>
      <c r="I490" s="432"/>
      <c r="J490" s="432"/>
    </row>
    <row r="491" spans="1:10" x14ac:dyDescent="0.3">
      <c r="A491" t="str">
        <f>IF('F2 - Données facturation'!$K$32=0,"Hide","")</f>
        <v>Hide</v>
      </c>
      <c r="B491" s="432"/>
      <c r="C491" s="435" t="s">
        <v>524</v>
      </c>
      <c r="D491" s="432"/>
      <c r="E491" s="432"/>
      <c r="F491" s="432"/>
      <c r="G491" s="432"/>
      <c r="H491" s="432"/>
      <c r="I491" s="432"/>
      <c r="J491" s="432"/>
    </row>
    <row r="492" spans="1:10" x14ac:dyDescent="0.3">
      <c r="A492" t="str">
        <f>IF('F2 - Données facturation'!$K$32=0,"Hide","")</f>
        <v>Hide</v>
      </c>
      <c r="B492" s="432"/>
      <c r="C492" s="433">
        <f>C477-E483</f>
        <v>0</v>
      </c>
      <c r="D492" s="432" t="s">
        <v>523</v>
      </c>
      <c r="E492" s="432"/>
      <c r="F492" s="432"/>
      <c r="G492" s="432"/>
      <c r="H492" s="432"/>
      <c r="I492" s="432"/>
      <c r="J492" s="432"/>
    </row>
    <row r="493" spans="1:10" ht="15" thickBot="1" x14ac:dyDescent="0.35">
      <c r="A493" t="str">
        <f>IF('F2 - Données facturation'!$K$32=0,"Hide","")</f>
        <v>Hide</v>
      </c>
      <c r="B493" s="432"/>
      <c r="C493" s="432"/>
      <c r="D493" s="432"/>
      <c r="E493" s="432"/>
      <c r="F493" s="432"/>
      <c r="G493" s="432"/>
      <c r="H493" s="432"/>
      <c r="I493" s="432"/>
      <c r="J493" s="432"/>
    </row>
    <row r="494" spans="1:10" x14ac:dyDescent="0.3">
      <c r="A494" t="str">
        <f>IF('F2 - Données facturation'!$K$32=0,"Hide","")</f>
        <v>Hide</v>
      </c>
      <c r="B494" s="467" t="s">
        <v>611</v>
      </c>
      <c r="C494" s="274"/>
      <c r="D494" s="466"/>
      <c r="E494" s="466"/>
      <c r="F494" s="465"/>
      <c r="G494" s="432"/>
      <c r="H494" s="432"/>
      <c r="I494" s="432"/>
      <c r="J494" s="432"/>
    </row>
    <row r="495" spans="1:10" x14ac:dyDescent="0.3">
      <c r="A495" t="str">
        <f>IF('F2 - Données facturation'!$K$32=0,"Hide","")</f>
        <v>Hide</v>
      </c>
      <c r="B495" s="212"/>
      <c r="C495" s="464" t="s">
        <v>610</v>
      </c>
      <c r="D495" s="432"/>
      <c r="E495" s="432"/>
      <c r="F495" s="463"/>
      <c r="G495" s="432"/>
      <c r="H495" s="432"/>
      <c r="I495" s="432"/>
      <c r="J495" s="432"/>
    </row>
    <row r="496" spans="1:10" x14ac:dyDescent="0.3">
      <c r="A496" t="str">
        <f>IF('F2 - Données facturation'!$K$32=0,"Hide","")</f>
        <v>Hide</v>
      </c>
      <c r="B496" s="212"/>
      <c r="C496" s="464" t="s">
        <v>609</v>
      </c>
      <c r="D496" s="432"/>
      <c r="E496" s="432"/>
      <c r="F496" s="463"/>
      <c r="G496" s="432"/>
      <c r="H496" s="432"/>
      <c r="I496" s="432"/>
      <c r="J496" s="432"/>
    </row>
    <row r="497" spans="1:10" x14ac:dyDescent="0.3">
      <c r="A497" t="str">
        <f>IF('F2 - Données facturation'!$K$32=0,"Hide","")</f>
        <v>Hide</v>
      </c>
      <c r="B497" s="212"/>
      <c r="C497" s="464" t="s">
        <v>608</v>
      </c>
      <c r="D497" s="432"/>
      <c r="E497" s="432"/>
      <c r="F497" s="463"/>
      <c r="G497" s="432"/>
      <c r="H497" s="432"/>
      <c r="I497" s="432"/>
      <c r="J497" s="432"/>
    </row>
    <row r="498" spans="1:10" x14ac:dyDescent="0.3">
      <c r="A498" t="str">
        <f>IF('F2 - Données facturation'!$K$32=0,"Hide","")</f>
        <v>Hide</v>
      </c>
      <c r="B498" s="212"/>
      <c r="C498" s="464" t="s">
        <v>607</v>
      </c>
      <c r="D498" s="432"/>
      <c r="E498" s="432"/>
      <c r="F498" s="463"/>
      <c r="G498" s="432"/>
      <c r="H498" s="432"/>
      <c r="I498" s="432"/>
      <c r="J498" s="432"/>
    </row>
    <row r="499" spans="1:10" x14ac:dyDescent="0.3">
      <c r="A499" t="str">
        <f>IF('F2 - Données facturation'!$K$32=0,"Hide","")</f>
        <v>Hide</v>
      </c>
      <c r="B499" s="212"/>
      <c r="C499" s="464" t="s">
        <v>606</v>
      </c>
      <c r="D499" s="432"/>
      <c r="E499" s="432"/>
      <c r="F499" s="463"/>
      <c r="G499" s="432"/>
      <c r="H499" s="432"/>
      <c r="I499" s="432"/>
      <c r="J499" s="432"/>
    </row>
    <row r="500" spans="1:10" x14ac:dyDescent="0.3">
      <c r="A500" t="str">
        <f>IF('F2 - Données facturation'!$K$32=0,"Hide","")</f>
        <v>Hide</v>
      </c>
      <c r="B500" s="212"/>
      <c r="C500" s="464" t="s">
        <v>605</v>
      </c>
      <c r="D500" s="432"/>
      <c r="E500" s="432"/>
      <c r="F500" s="463"/>
      <c r="G500" s="432"/>
      <c r="H500" s="432"/>
      <c r="I500" s="432"/>
      <c r="J500" s="432"/>
    </row>
    <row r="501" spans="1:10" ht="15" thickBot="1" x14ac:dyDescent="0.35">
      <c r="A501" t="str">
        <f>IF('F2 - Données facturation'!$K$32=0,"Hide","")</f>
        <v>Hide</v>
      </c>
      <c r="B501" s="407"/>
      <c r="C501" s="462" t="s">
        <v>604</v>
      </c>
      <c r="D501" s="461"/>
      <c r="E501" s="461"/>
      <c r="F501" s="460"/>
      <c r="G501" s="432"/>
      <c r="H501" s="432"/>
      <c r="I501" s="432"/>
      <c r="J501" s="432"/>
    </row>
    <row r="502" spans="1:10" x14ac:dyDescent="0.3">
      <c r="A502" t="str">
        <f>IF('F2 - Données facturation'!$K$32=0,"Hide","")</f>
        <v>Hide</v>
      </c>
      <c r="B502" s="432"/>
      <c r="C502" s="432"/>
      <c r="D502" s="432"/>
      <c r="E502" s="432"/>
      <c r="F502" s="432"/>
      <c r="G502" s="432"/>
      <c r="H502" s="432"/>
      <c r="I502" s="432"/>
      <c r="J502" s="432"/>
    </row>
    <row r="503" spans="1:10" x14ac:dyDescent="0.3">
      <c r="A503" t="str">
        <f>IF('F2 - Données facturation'!$K$32=0,"Hide","")</f>
        <v>Hide</v>
      </c>
      <c r="B503" s="432"/>
      <c r="C503" s="432" t="s">
        <v>603</v>
      </c>
      <c r="D503" s="433">
        <f>C477</f>
        <v>0</v>
      </c>
      <c r="E503" s="432"/>
      <c r="F503" s="432"/>
      <c r="G503" s="432"/>
      <c r="H503" s="432"/>
      <c r="I503" s="432"/>
      <c r="J503" s="432"/>
    </row>
    <row r="504" spans="1:10" x14ac:dyDescent="0.3">
      <c r="A504" t="str">
        <f>IF('F2 - Données facturation'!$K$32=0,"Hide","")</f>
        <v>Hide</v>
      </c>
      <c r="B504" s="432"/>
      <c r="C504" s="433">
        <f>D503*0.16</f>
        <v>0</v>
      </c>
      <c r="D504" s="432" t="s">
        <v>521</v>
      </c>
      <c r="E504" s="432"/>
      <c r="F504" s="432"/>
      <c r="G504" s="432"/>
      <c r="H504" s="432"/>
      <c r="I504" s="432"/>
      <c r="J504" s="432"/>
    </row>
    <row r="505" spans="1:10" x14ac:dyDescent="0.3">
      <c r="A505" t="str">
        <f>IF('F2 - Données facturation'!$K$32=0,"Hide","")</f>
        <v>Hide</v>
      </c>
      <c r="B505" s="432"/>
      <c r="C505" s="432"/>
      <c r="D505" s="432"/>
      <c r="E505" s="432"/>
      <c r="F505" s="432"/>
      <c r="G505" s="432"/>
      <c r="H505" s="432"/>
      <c r="I505" s="432"/>
      <c r="J505" s="432"/>
    </row>
    <row r="506" spans="1:10" ht="15" thickBot="1" x14ac:dyDescent="0.35">
      <c r="A506" t="str">
        <f>IF('F2 - Données facturation'!$K$32=0,"Hide","")</f>
        <v>Hide</v>
      </c>
      <c r="B506" s="432"/>
      <c r="C506" s="432"/>
      <c r="D506" s="432"/>
      <c r="E506" s="432"/>
      <c r="F506" s="432"/>
      <c r="G506" s="432"/>
      <c r="H506" s="432"/>
      <c r="I506" s="432"/>
      <c r="J506" s="432"/>
    </row>
    <row r="507" spans="1:10" ht="15" thickBot="1" x14ac:dyDescent="0.35">
      <c r="A507" t="str">
        <f>IF('F2 - Données facturation'!$K$32=0,"Hide","")</f>
        <v>Hide</v>
      </c>
      <c r="B507" s="1024" t="s">
        <v>602</v>
      </c>
      <c r="C507" s="1025"/>
      <c r="D507" s="1025"/>
      <c r="E507" s="1025"/>
      <c r="F507" s="1026"/>
      <c r="G507" s="432"/>
      <c r="H507" s="432"/>
      <c r="I507" s="432"/>
      <c r="J507" s="432"/>
    </row>
    <row r="508" spans="1:10" x14ac:dyDescent="0.3">
      <c r="A508" t="str">
        <f>IF('F2 - Données facturation'!$K$32=0,"Hide","")</f>
        <v>Hide</v>
      </c>
      <c r="B508" s="432"/>
      <c r="C508" s="432"/>
      <c r="D508" s="432"/>
      <c r="E508" s="432"/>
      <c r="F508" s="432"/>
      <c r="G508" s="432"/>
      <c r="H508" s="432"/>
      <c r="I508" s="432"/>
      <c r="J508" s="432"/>
    </row>
    <row r="509" spans="1:10" x14ac:dyDescent="0.3">
      <c r="A509" t="str">
        <f>IF('F2 - Données facturation'!$K$32=0,"Hide","")</f>
        <v>Hide</v>
      </c>
      <c r="B509" s="432"/>
      <c r="C509" s="432"/>
      <c r="D509" s="432"/>
      <c r="E509" s="432"/>
      <c r="F509" s="432"/>
      <c r="G509" s="432"/>
      <c r="H509" s="432"/>
      <c r="I509" s="432"/>
      <c r="J509" s="432"/>
    </row>
    <row r="510" spans="1:10" x14ac:dyDescent="0.3">
      <c r="A510" t="str">
        <f>IF('F2 - Données facturation'!$K$32=0,"Hide","")</f>
        <v>Hide</v>
      </c>
      <c r="B510" s="432"/>
      <c r="C510" s="432"/>
      <c r="D510" s="432"/>
      <c r="E510" s="432"/>
      <c r="F510" s="432"/>
      <c r="G510" s="432"/>
      <c r="H510" s="432"/>
      <c r="I510" s="432"/>
      <c r="J510" s="432"/>
    </row>
    <row r="511" spans="1:10" x14ac:dyDescent="0.3">
      <c r="A511" t="str">
        <f>IF('F2 - Données facturation'!$K$32=0,"Hide","")</f>
        <v>Hide</v>
      </c>
      <c r="B511" s="432"/>
      <c r="C511" s="432"/>
      <c r="D511" s="432"/>
      <c r="E511" s="432"/>
      <c r="F511" s="432"/>
      <c r="G511" s="432"/>
      <c r="H511" s="432"/>
      <c r="I511" s="432"/>
      <c r="J511" s="432"/>
    </row>
    <row r="512" spans="1:10" x14ac:dyDescent="0.3">
      <c r="A512" t="str">
        <f>IF('F2 - Données facturation'!$K$32=0,"Hide","")</f>
        <v>Hide</v>
      </c>
      <c r="B512" s="432"/>
      <c r="C512" s="434" t="s">
        <v>601</v>
      </c>
      <c r="D512" s="433">
        <f>C477</f>
        <v>0</v>
      </c>
      <c r="E512" s="432"/>
      <c r="F512" s="432"/>
      <c r="G512" s="432"/>
      <c r="H512" s="432"/>
      <c r="I512" s="432"/>
      <c r="J512" s="432"/>
    </row>
    <row r="513" spans="1:11" x14ac:dyDescent="0.3">
      <c r="A513" t="str">
        <f>IF('F2 - Données facturation'!$K$32=0,"Hide","")</f>
        <v>Hide</v>
      </c>
      <c r="B513" s="432"/>
      <c r="C513" s="433">
        <f>D512*0.184</f>
        <v>0</v>
      </c>
      <c r="D513" s="432" t="s">
        <v>518</v>
      </c>
      <c r="E513" s="432"/>
      <c r="F513" s="432"/>
      <c r="G513" s="432"/>
      <c r="H513" s="432"/>
      <c r="I513" s="432"/>
      <c r="J513" s="432"/>
    </row>
    <row r="514" spans="1:11" ht="15" thickBot="1" x14ac:dyDescent="0.35">
      <c r="A514" t="str">
        <f>IF('F2 - Données facturation'!$K$32=0,"Hide","")</f>
        <v>Hide</v>
      </c>
      <c r="B514" s="432"/>
      <c r="C514" s="432"/>
      <c r="D514" s="432"/>
      <c r="E514" s="432"/>
      <c r="F514" s="432"/>
      <c r="G514" s="432"/>
      <c r="H514" s="432"/>
      <c r="I514" s="432"/>
      <c r="J514" s="432"/>
    </row>
    <row r="515" spans="1:11" ht="15" thickBot="1" x14ac:dyDescent="0.35">
      <c r="A515" t="str">
        <f>IF('F2 - Données facturation'!$K$32=0,"Hide","")</f>
        <v>Hide</v>
      </c>
      <c r="B515" s="1024" t="s">
        <v>600</v>
      </c>
      <c r="C515" s="1025"/>
      <c r="D515" s="1025"/>
      <c r="E515" s="1025"/>
      <c r="F515" s="1026"/>
      <c r="G515" s="432"/>
      <c r="H515" s="432"/>
      <c r="I515" s="432"/>
      <c r="J515" s="432"/>
    </row>
    <row r="516" spans="1:11" x14ac:dyDescent="0.3">
      <c r="A516" t="str">
        <f>IF('F2 - Données facturation'!$K$32=0,"Hide","")</f>
        <v>Hide</v>
      </c>
      <c r="B516" s="432"/>
      <c r="C516" s="432"/>
      <c r="D516" s="432"/>
      <c r="E516" s="432"/>
      <c r="F516" s="432"/>
      <c r="G516" s="432"/>
      <c r="H516" s="432"/>
      <c r="I516" s="432"/>
      <c r="J516" s="432"/>
    </row>
    <row r="517" spans="1:11" x14ac:dyDescent="0.3">
      <c r="A517" t="str">
        <f>IF('F2 - Données facturation'!$K$32=0,"Hide","")</f>
        <v>Hide</v>
      </c>
      <c r="B517" s="432"/>
      <c r="C517" s="1018" t="s">
        <v>599</v>
      </c>
      <c r="D517" s="1018"/>
      <c r="E517" s="1018"/>
      <c r="F517" s="433">
        <f>C492</f>
        <v>0</v>
      </c>
      <c r="G517" s="432" t="s">
        <v>56</v>
      </c>
      <c r="H517" s="432"/>
      <c r="I517" s="432"/>
      <c r="J517" s="432"/>
    </row>
    <row r="518" spans="1:11" x14ac:dyDescent="0.3">
      <c r="A518" t="str">
        <f>IF('F2 - Données facturation'!$K$32=0,"Hide","")</f>
        <v>Hide</v>
      </c>
      <c r="B518" s="432"/>
      <c r="C518" s="1018" t="s">
        <v>573</v>
      </c>
      <c r="D518" s="1018"/>
      <c r="E518" s="1018"/>
      <c r="F518" s="433">
        <f>C504</f>
        <v>0</v>
      </c>
      <c r="G518" s="432" t="s">
        <v>56</v>
      </c>
      <c r="H518" s="432"/>
      <c r="I518" s="432"/>
      <c r="J518" s="432"/>
    </row>
    <row r="519" spans="1:11" x14ac:dyDescent="0.3">
      <c r="A519" t="str">
        <f>IF('F2 - Données facturation'!$K$32=0,"Hide","")</f>
        <v>Hide</v>
      </c>
      <c r="B519" s="432"/>
      <c r="C519" s="1018" t="s">
        <v>572</v>
      </c>
      <c r="D519" s="1018"/>
      <c r="E519" s="1018"/>
      <c r="F519" s="433">
        <f>C513</f>
        <v>0</v>
      </c>
      <c r="G519" s="432" t="s">
        <v>56</v>
      </c>
      <c r="H519" s="432"/>
      <c r="I519" s="432"/>
      <c r="J519" s="432"/>
    </row>
    <row r="520" spans="1:11" x14ac:dyDescent="0.3">
      <c r="A520" t="str">
        <f>IF('F2 - Données facturation'!$K$32=0,"Hide","")</f>
        <v>Hide</v>
      </c>
      <c r="B520" s="432"/>
      <c r="C520" s="432"/>
      <c r="D520" s="432"/>
      <c r="E520" s="432"/>
      <c r="F520" s="432"/>
      <c r="G520" s="432"/>
      <c r="H520" s="432"/>
      <c r="I520" s="432"/>
      <c r="J520" s="432"/>
    </row>
    <row r="521" spans="1:11" ht="15.6" x14ac:dyDescent="0.3">
      <c r="A521" t="str">
        <f>IF('F2 - Données facturation'!$K$32=0,"Hide","")</f>
        <v>Hide</v>
      </c>
      <c r="B521" s="432"/>
      <c r="C521" s="1019" t="s">
        <v>571</v>
      </c>
      <c r="D521" s="1018"/>
      <c r="E521" s="1018"/>
      <c r="F521" s="433">
        <f>F517-F518-F519</f>
        <v>0</v>
      </c>
      <c r="G521" s="432" t="s">
        <v>56</v>
      </c>
      <c r="H521" s="432"/>
      <c r="I521" s="432"/>
      <c r="J521" s="432"/>
    </row>
    <row r="522" spans="1:11" x14ac:dyDescent="0.3">
      <c r="A522" t="str">
        <f>IF('F2 - Données facturation'!$K$32=0,"Hide","")</f>
        <v>Hide</v>
      </c>
      <c r="B522" s="432"/>
      <c r="C522" s="432"/>
      <c r="D522" s="432"/>
      <c r="E522" s="432"/>
      <c r="F522" s="432"/>
      <c r="G522" s="432"/>
      <c r="H522" s="432"/>
      <c r="I522" s="432"/>
      <c r="J522" s="432"/>
    </row>
    <row r="523" spans="1:11" x14ac:dyDescent="0.3">
      <c r="A523" t="str">
        <f>IF('F2 - Données facturation'!$K$32=0,"Hide","")</f>
        <v>Hide</v>
      </c>
      <c r="B523" s="432"/>
      <c r="C523" s="432"/>
      <c r="D523" s="432"/>
      <c r="E523" s="432"/>
      <c r="F523" s="432"/>
      <c r="G523" s="432"/>
      <c r="H523" s="432"/>
      <c r="I523" s="432"/>
      <c r="J523" s="432"/>
    </row>
    <row r="524" spans="1:11" x14ac:dyDescent="0.3">
      <c r="A524" t="str">
        <f>IF('F2 - Données facturation'!$K$32=0,"Hide","")</f>
        <v>Hide</v>
      </c>
      <c r="B524" s="432"/>
      <c r="C524" s="432"/>
      <c r="D524" s="432"/>
      <c r="E524" s="432"/>
      <c r="F524" s="432"/>
      <c r="G524" s="432"/>
      <c r="H524" s="432"/>
      <c r="I524" s="432"/>
      <c r="J524" s="432"/>
    </row>
    <row r="525" spans="1:11" x14ac:dyDescent="0.3">
      <c r="A525" t="str">
        <f>IF('F2 - Données facturation'!$K$32=0,"Hide","")</f>
        <v>Hide</v>
      </c>
      <c r="B525" s="432"/>
      <c r="C525" s="432"/>
      <c r="D525" s="432"/>
      <c r="E525" s="432"/>
      <c r="F525" s="432"/>
      <c r="G525" s="432"/>
      <c r="H525" s="432"/>
      <c r="I525" s="432"/>
      <c r="J525" s="432"/>
    </row>
    <row r="526" spans="1:11" ht="21" x14ac:dyDescent="0.3">
      <c r="A526" t="str">
        <f>IF('F2 - Données facturation'!$N$32=0,"Hide","")</f>
        <v>Hide</v>
      </c>
      <c r="B526" s="1020" t="s">
        <v>598</v>
      </c>
      <c r="C526" s="1020"/>
      <c r="D526" s="1020"/>
      <c r="E526" s="1020"/>
      <c r="F526" s="1020"/>
      <c r="G526" s="1020"/>
      <c r="H526" s="1020"/>
      <c r="I526" s="1020"/>
      <c r="J526" s="569"/>
      <c r="K526" s="503"/>
    </row>
    <row r="527" spans="1:11" x14ac:dyDescent="0.3">
      <c r="A527" t="str">
        <f>IF('F2 - Données facturation'!$N$32=0,"Hide","")</f>
        <v>Hide</v>
      </c>
      <c r="B527" s="432"/>
      <c r="C527" s="432"/>
      <c r="D527" s="432"/>
      <c r="E527" s="432"/>
      <c r="F527" s="432"/>
      <c r="G527" s="432"/>
      <c r="H527" s="432"/>
      <c r="I527" s="432"/>
      <c r="J527" s="432"/>
    </row>
    <row r="528" spans="1:11" x14ac:dyDescent="0.3">
      <c r="A528" t="str">
        <f>IF('F2 - Données facturation'!$N$32=0,"Hide","")</f>
        <v>Hide</v>
      </c>
      <c r="B528" s="432"/>
      <c r="C528" s="432" t="s">
        <v>730</v>
      </c>
      <c r="D528" s="432"/>
      <c r="E528" s="432"/>
      <c r="F528" s="432"/>
      <c r="G528" s="432"/>
      <c r="H528" s="432"/>
      <c r="I528" s="432"/>
      <c r="J528" s="432"/>
    </row>
    <row r="529" spans="1:10" x14ac:dyDescent="0.3">
      <c r="A529" t="str">
        <f>IF('F2 - Données facturation'!$N$32=0,"Hide","")</f>
        <v>Hide</v>
      </c>
      <c r="B529" s="432"/>
      <c r="C529" s="432"/>
      <c r="D529" s="432"/>
      <c r="E529" s="432"/>
      <c r="F529" s="432"/>
      <c r="G529" s="432"/>
      <c r="H529" s="432"/>
      <c r="I529" s="432"/>
      <c r="J529" s="432"/>
    </row>
    <row r="530" spans="1:10" ht="29.4" thickBot="1" x14ac:dyDescent="0.35">
      <c r="A530" t="str">
        <f>IF('F2 - Données facturation'!$N$32=0,"Hide","")</f>
        <v>Hide</v>
      </c>
      <c r="B530" s="432"/>
      <c r="C530" s="459" t="s">
        <v>500</v>
      </c>
      <c r="D530" s="459" t="s">
        <v>504</v>
      </c>
      <c r="E530" s="459" t="s">
        <v>597</v>
      </c>
      <c r="F530" s="459" t="s">
        <v>503</v>
      </c>
      <c r="G530" s="459" t="s">
        <v>502</v>
      </c>
      <c r="H530" s="459" t="s">
        <v>501</v>
      </c>
      <c r="I530" s="458" t="s">
        <v>57</v>
      </c>
      <c r="J530" s="432"/>
    </row>
    <row r="531" spans="1:10" ht="15" thickBot="1" x14ac:dyDescent="0.35">
      <c r="A531" t="str">
        <f>IF('F2 - Données facturation'!$N$32=0,"Hide","")</f>
        <v>Hide</v>
      </c>
      <c r="B531" s="455" t="s">
        <v>587</v>
      </c>
      <c r="C531" s="441">
        <f>C193</f>
        <v>0</v>
      </c>
      <c r="D531" s="441">
        <f>F233</f>
        <v>0</v>
      </c>
      <c r="E531" s="456" t="s">
        <v>595</v>
      </c>
      <c r="F531" s="441">
        <f>F235</f>
        <v>0</v>
      </c>
      <c r="G531" s="441">
        <f>F232</f>
        <v>0</v>
      </c>
      <c r="H531" s="441">
        <f>E199</f>
        <v>0</v>
      </c>
      <c r="I531" s="441">
        <f t="shared" ref="I531:I536" si="0">D531+F531+G531+H531</f>
        <v>0</v>
      </c>
      <c r="J531" s="432" t="str">
        <f t="shared" ref="J531:J537" si="1">IF(C531=I531,"OK","NOT OK")</f>
        <v>OK</v>
      </c>
    </row>
    <row r="532" spans="1:10" ht="15" thickBot="1" x14ac:dyDescent="0.35">
      <c r="A532" t="str">
        <f>IF('F2 - Données facturation'!$N$32=0,"Hide","")</f>
        <v>Hide</v>
      </c>
      <c r="B532" s="455" t="s">
        <v>596</v>
      </c>
      <c r="C532" s="441">
        <f>C250</f>
        <v>0</v>
      </c>
      <c r="D532" s="441">
        <f>F295</f>
        <v>0</v>
      </c>
      <c r="E532" s="457">
        <f>F296</f>
        <v>0</v>
      </c>
      <c r="F532" s="441">
        <f>F298</f>
        <v>0</v>
      </c>
      <c r="G532" s="441">
        <f>F294</f>
        <v>0</v>
      </c>
      <c r="H532" s="441">
        <f>E256</f>
        <v>0</v>
      </c>
      <c r="I532" s="441">
        <f t="shared" si="0"/>
        <v>0</v>
      </c>
      <c r="J532" s="432" t="str">
        <f t="shared" si="1"/>
        <v>OK</v>
      </c>
    </row>
    <row r="533" spans="1:10" ht="15" thickBot="1" x14ac:dyDescent="0.35">
      <c r="A533" t="str">
        <f>IF('F2 - Données facturation'!$N$32=0,"Hide","")</f>
        <v>Hide</v>
      </c>
      <c r="B533" s="455" t="s">
        <v>508</v>
      </c>
      <c r="C533" s="441">
        <f>C313</f>
        <v>0</v>
      </c>
      <c r="D533" s="441">
        <f>F353</f>
        <v>0</v>
      </c>
      <c r="E533" s="456" t="s">
        <v>595</v>
      </c>
      <c r="F533" s="441">
        <f>F355</f>
        <v>0</v>
      </c>
      <c r="G533" s="441">
        <f>C340</f>
        <v>0</v>
      </c>
      <c r="H533" s="441">
        <f>E319</f>
        <v>0</v>
      </c>
      <c r="I533" s="441">
        <f t="shared" si="0"/>
        <v>0</v>
      </c>
      <c r="J533" s="432" t="str">
        <f t="shared" si="1"/>
        <v>OK</v>
      </c>
    </row>
    <row r="534" spans="1:10" ht="15" thickBot="1" x14ac:dyDescent="0.35">
      <c r="A534" t="str">
        <f>IF('F2 - Données facturation'!$N$32=0,"Hide","")</f>
        <v>Hide</v>
      </c>
      <c r="B534" s="455" t="s">
        <v>506</v>
      </c>
      <c r="C534" s="441">
        <f>C368</f>
        <v>0</v>
      </c>
      <c r="D534" s="441">
        <f>F404</f>
        <v>0</v>
      </c>
      <c r="E534" s="456" t="s">
        <v>595</v>
      </c>
      <c r="F534" s="441">
        <f>F406</f>
        <v>0</v>
      </c>
      <c r="G534" s="441">
        <f>F403</f>
        <v>0</v>
      </c>
      <c r="H534" s="441">
        <f>E373</f>
        <v>0</v>
      </c>
      <c r="I534" s="441">
        <f t="shared" si="0"/>
        <v>0</v>
      </c>
      <c r="J534" s="432" t="str">
        <f t="shared" si="1"/>
        <v>OK</v>
      </c>
    </row>
    <row r="535" spans="1:10" ht="15" thickBot="1" x14ac:dyDescent="0.35">
      <c r="A535" t="str">
        <f>IF('F2 - Données facturation'!$N$32=0,"Hide","")</f>
        <v>Hide</v>
      </c>
      <c r="B535" s="455" t="s">
        <v>179</v>
      </c>
      <c r="C535" s="441">
        <f>C422</f>
        <v>0</v>
      </c>
      <c r="D535" s="441">
        <f>F461</f>
        <v>0</v>
      </c>
      <c r="E535" s="456" t="s">
        <v>595</v>
      </c>
      <c r="F535" s="441">
        <f>F463</f>
        <v>0</v>
      </c>
      <c r="G535" s="441">
        <f>F460</f>
        <v>0</v>
      </c>
      <c r="H535" s="441">
        <f>E428</f>
        <v>0</v>
      </c>
      <c r="I535" s="441">
        <f t="shared" si="0"/>
        <v>0</v>
      </c>
      <c r="J535" s="432" t="str">
        <f t="shared" si="1"/>
        <v>OK</v>
      </c>
    </row>
    <row r="536" spans="1:10" ht="15" thickBot="1" x14ac:dyDescent="0.35">
      <c r="A536" t="str">
        <f>IF('F2 - Données facturation'!$N$32=0,"Hide","")</f>
        <v>Hide</v>
      </c>
      <c r="B536" s="455" t="s">
        <v>444</v>
      </c>
      <c r="C536" s="441">
        <f>C477</f>
        <v>0</v>
      </c>
      <c r="D536" s="441">
        <f>F519</f>
        <v>0</v>
      </c>
      <c r="E536" s="456" t="s">
        <v>595</v>
      </c>
      <c r="F536" s="441">
        <f>F521</f>
        <v>0</v>
      </c>
      <c r="G536" s="441">
        <f>F518</f>
        <v>0</v>
      </c>
      <c r="H536" s="441">
        <f>E483</f>
        <v>0</v>
      </c>
      <c r="I536" s="441">
        <f t="shared" si="0"/>
        <v>0</v>
      </c>
      <c r="J536" s="432" t="str">
        <f t="shared" si="1"/>
        <v>OK</v>
      </c>
    </row>
    <row r="537" spans="1:10" ht="15" thickBot="1" x14ac:dyDescent="0.35">
      <c r="A537" t="str">
        <f>IF('F2 - Données facturation'!$N$32=0,"Hide","")</f>
        <v>Hide</v>
      </c>
      <c r="B537" s="455"/>
      <c r="C537" s="453">
        <f t="shared" ref="C537:I537" si="2">SUM(C531:C536)</f>
        <v>0</v>
      </c>
      <c r="D537" s="453">
        <f t="shared" si="2"/>
        <v>0</v>
      </c>
      <c r="E537" s="454">
        <f t="shared" si="2"/>
        <v>0</v>
      </c>
      <c r="F537" s="453">
        <f t="shared" si="2"/>
        <v>0</v>
      </c>
      <c r="G537" s="453">
        <f t="shared" si="2"/>
        <v>0</v>
      </c>
      <c r="H537" s="453">
        <f t="shared" si="2"/>
        <v>0</v>
      </c>
      <c r="I537" s="453">
        <f t="shared" si="2"/>
        <v>0</v>
      </c>
      <c r="J537" s="432" t="str">
        <f t="shared" si="1"/>
        <v>OK</v>
      </c>
    </row>
    <row r="538" spans="1:10" x14ac:dyDescent="0.3">
      <c r="A538" t="str">
        <f>IF('F2 - Données facturation'!$N$32=0,"Hide","")</f>
        <v>Hide</v>
      </c>
      <c r="B538" s="432"/>
      <c r="C538" s="452"/>
      <c r="D538" s="432"/>
      <c r="E538" s="432"/>
      <c r="F538" s="432"/>
      <c r="G538" s="432"/>
      <c r="H538" s="451"/>
      <c r="I538" s="432"/>
      <c r="J538" s="432"/>
    </row>
    <row r="539" spans="1:10" x14ac:dyDescent="0.3">
      <c r="A539" t="str">
        <f>IF('F2 - Données facturation'!$N$32=0,"Hide","")</f>
        <v>Hide</v>
      </c>
      <c r="B539" s="434"/>
      <c r="C539" s="414" t="s">
        <v>731</v>
      </c>
      <c r="D539" s="451"/>
      <c r="E539" s="451"/>
      <c r="F539" s="451"/>
      <c r="G539" s="451"/>
      <c r="H539" s="432"/>
      <c r="I539" s="432"/>
      <c r="J539" s="432"/>
    </row>
    <row r="540" spans="1:10" x14ac:dyDescent="0.3">
      <c r="A540" t="str">
        <f>IF('F2 - Données facturation'!$N$32=0,"Hide","")</f>
        <v>Hide</v>
      </c>
      <c r="B540" s="432"/>
      <c r="C540" s="432"/>
      <c r="D540" s="432"/>
      <c r="E540" s="432"/>
      <c r="F540" s="432"/>
      <c r="G540" s="432"/>
      <c r="H540" s="432"/>
      <c r="I540" s="432"/>
      <c r="J540" s="432"/>
    </row>
    <row r="541" spans="1:10" ht="29.4" thickBot="1" x14ac:dyDescent="0.35">
      <c r="A541" t="str">
        <f>IF('F2 - Données facturation'!$N$32=0,"Hide","")</f>
        <v>Hide</v>
      </c>
      <c r="C541" s="429" t="s">
        <v>594</v>
      </c>
      <c r="D541" s="425" t="s">
        <v>593</v>
      </c>
      <c r="E541" s="425" t="s">
        <v>512</v>
      </c>
      <c r="F541" s="425" t="s">
        <v>502</v>
      </c>
      <c r="G541" s="425" t="s">
        <v>501</v>
      </c>
      <c r="H541" s="425" t="s">
        <v>500</v>
      </c>
    </row>
    <row r="542" spans="1:10" ht="15" thickBot="1" x14ac:dyDescent="0.35">
      <c r="A542" t="str">
        <f>IF('F2 - Données facturation'!$N$32=0,"Hide","")</f>
        <v>Hide</v>
      </c>
      <c r="C542" s="450">
        <f>'F3 - Relevé du personnel'!BH6+'F3 - Relevé du personnel'!BH14+'F3 - Relevé du personnel'!BH32</f>
        <v>0</v>
      </c>
      <c r="D542" s="424">
        <f ca="1">'F3 - Relevé du personnel'!BV10</f>
        <v>0</v>
      </c>
      <c r="E542" s="424">
        <f ca="1">'F3 - Relevé du personnel'!BV8</f>
        <v>0</v>
      </c>
      <c r="F542" s="424">
        <f ca="1">'F3 - Relevé du personnel'!BV6</f>
        <v>0</v>
      </c>
      <c r="G542" s="424">
        <f ca="1">'F3 - Relevé du personnel'!BV4</f>
        <v>0</v>
      </c>
      <c r="H542" s="424">
        <f ca="1">SUM(D542:G542)</f>
        <v>0</v>
      </c>
    </row>
    <row r="543" spans="1:10" x14ac:dyDescent="0.3">
      <c r="A543" t="str">
        <f>IF('F2 - Données facturation'!$N$32=0,"Hide","")</f>
        <v>Hide</v>
      </c>
      <c r="C543" s="449" t="str">
        <f>IF(C542&lt;E537,"NOT OK","OK")</f>
        <v>OK</v>
      </c>
      <c r="D543" s="422" t="str">
        <f ca="1">IF(D542&lt;D537,"NOT OK","OK")</f>
        <v>OK</v>
      </c>
      <c r="E543" s="422" t="str">
        <f ca="1">IF(E542+D542&lt;F537+D537,"NOT OK","OK")</f>
        <v>OK</v>
      </c>
      <c r="F543" s="422" t="str">
        <f ca="1">IF(F542+E542+D542&lt;G537+F537+D537,"NOT OK","OK")</f>
        <v>OK</v>
      </c>
      <c r="G543" s="422" t="str">
        <f ca="1">IF(G542+F542+E542+D542&lt;H537+G537+F537+D537,"NOT OK","OK")</f>
        <v>OK</v>
      </c>
      <c r="H543" s="422" t="str">
        <f ca="1">IF(H542&lt;I537,"NOT OK","OK")</f>
        <v>OK</v>
      </c>
    </row>
    <row r="544" spans="1:10" x14ac:dyDescent="0.3">
      <c r="A544" t="str">
        <f>IF('F2 - Données facturation'!$N$32=0,"Hide","")</f>
        <v>Hide</v>
      </c>
      <c r="D544" s="415"/>
      <c r="E544" s="231"/>
      <c r="F544" s="231"/>
      <c r="G544" s="231"/>
      <c r="H544" s="447"/>
    </row>
    <row r="545" spans="1:11" x14ac:dyDescent="0.3">
      <c r="A545" t="str">
        <f>IF('F2 - Données facturation'!$N$32=0,"Hide","")</f>
        <v>Hide</v>
      </c>
      <c r="D545" s="415"/>
      <c r="E545" s="231"/>
      <c r="F545" s="231"/>
      <c r="G545" s="448"/>
      <c r="H545" s="447"/>
    </row>
    <row r="546" spans="1:11" ht="18" x14ac:dyDescent="0.35">
      <c r="A546" t="str">
        <f>IF('F2 - Données facturation'!$N$32=0,"Hide","")</f>
        <v>Hide</v>
      </c>
      <c r="C546" s="411" t="s">
        <v>492</v>
      </c>
      <c r="D546" s="415"/>
      <c r="E546" s="231"/>
      <c r="F546" s="231"/>
      <c r="G546" s="448"/>
      <c r="H546" s="447"/>
    </row>
    <row r="547" spans="1:11" ht="15" thickBot="1" x14ac:dyDescent="0.35">
      <c r="A547" t="str">
        <f>IF('F2 - Données facturation'!$N$32=0,"Hide","")</f>
        <v>Hide</v>
      </c>
    </row>
    <row r="548" spans="1:11" ht="15.6" x14ac:dyDescent="0.3">
      <c r="A548" t="str">
        <f>IF('F2 - Données facturation'!$N$32=0,"Hide","")</f>
        <v>Hide</v>
      </c>
      <c r="B548" s="1021" t="s">
        <v>592</v>
      </c>
      <c r="C548" s="1022"/>
      <c r="D548" s="1022"/>
      <c r="E548" s="1022"/>
      <c r="F548" s="1022"/>
      <c r="G548" s="1022"/>
      <c r="H548" s="1022"/>
      <c r="I548" s="1023"/>
    </row>
    <row r="549" spans="1:11" ht="15.6" x14ac:dyDescent="0.3">
      <c r="A549" t="str">
        <f>IF('F2 - Données facturation'!$N$32=0,"Hide","")</f>
        <v>Hide</v>
      </c>
      <c r="B549" s="212"/>
      <c r="D549" s="995" t="str">
        <f>IF($H$220&gt;=$I$215,"OUI","NON")</f>
        <v>OUI</v>
      </c>
      <c r="E549" s="995"/>
      <c r="I549" s="210"/>
    </row>
    <row r="550" spans="1:11" x14ac:dyDescent="0.3">
      <c r="A550" t="str">
        <f>IF('F2 - Données facturation'!$N$32=0,"Hide","")</f>
        <v>Hide</v>
      </c>
      <c r="B550" s="212"/>
      <c r="I550" s="210"/>
    </row>
    <row r="551" spans="1:11" ht="15.6" x14ac:dyDescent="0.3">
      <c r="A551" t="str">
        <f>IF('F2 - Données facturation'!$N$32=0,"Hide","")</f>
        <v>Hide</v>
      </c>
      <c r="B551" s="992" t="s">
        <v>591</v>
      </c>
      <c r="C551" s="993"/>
      <c r="D551" s="993"/>
      <c r="E551" s="993"/>
      <c r="F551" s="993"/>
      <c r="G551" s="993"/>
      <c r="H551" s="993"/>
      <c r="I551" s="994"/>
    </row>
    <row r="552" spans="1:11" ht="15.6" x14ac:dyDescent="0.3">
      <c r="A552" t="str">
        <f>IF('F2 - Données facturation'!$N$32=0,"Hide","")</f>
        <v>Hide</v>
      </c>
      <c r="B552" s="212"/>
      <c r="D552" s="995" t="str">
        <f ca="1">IF(AND(C543="OK",D543="OK",E543="OK",F543="OK",G543="OK"),"OUI","NON")</f>
        <v>OUI</v>
      </c>
      <c r="E552" s="995"/>
      <c r="F552" s="446"/>
      <c r="I552" s="210"/>
    </row>
    <row r="553" spans="1:11" ht="15" thickBot="1" x14ac:dyDescent="0.35">
      <c r="A553" t="str">
        <f>IF('F2 - Données facturation'!$N$32=0,"Hide","")</f>
        <v>Hide</v>
      </c>
      <c r="B553" s="407"/>
      <c r="C553" s="406"/>
      <c r="D553" s="406"/>
      <c r="E553" s="406"/>
      <c r="F553" s="406"/>
      <c r="G553" s="406"/>
      <c r="H553" s="406"/>
      <c r="I553" s="405"/>
    </row>
    <row r="554" spans="1:11" ht="15" thickBot="1" x14ac:dyDescent="0.35">
      <c r="A554" t="str">
        <f>IF('F2 - Données facturation'!$N$32=0,"Hide","")</f>
        <v>Hide</v>
      </c>
      <c r="J554" s="432"/>
      <c r="K554" s="432"/>
    </row>
    <row r="555" spans="1:11" ht="15" thickBot="1" x14ac:dyDescent="0.35">
      <c r="A555" t="str">
        <f>IF('F2 - Données facturation'!$N$32=0,"Hide","")</f>
        <v>Hide</v>
      </c>
      <c r="J555" s="441"/>
    </row>
    <row r="556" spans="1:11" x14ac:dyDescent="0.3">
      <c r="A556" t="str">
        <f>IF('F2 - Données facturation'!$N$32=0,"Hide","")</f>
        <v>Hide</v>
      </c>
      <c r="J556" s="304"/>
    </row>
    <row r="557" spans="1:11" x14ac:dyDescent="0.3">
      <c r="A557" t="str">
        <f>IF('F2 - Données facturation'!$N$32=0,"Hide","")</f>
        <v>Hide</v>
      </c>
      <c r="C557" s="404" t="s">
        <v>487</v>
      </c>
      <c r="D557" s="404"/>
      <c r="F557" s="122" t="s">
        <v>486</v>
      </c>
      <c r="G557">
        <f>C169</f>
        <v>0</v>
      </c>
    </row>
    <row r="558" spans="1:11" x14ac:dyDescent="0.3">
      <c r="A558" t="str">
        <f>IF('F2 - Données facturation'!$N$32=0,"Hide","")</f>
        <v>Hide</v>
      </c>
      <c r="C558" s="404" t="s">
        <v>485</v>
      </c>
      <c r="D558" s="404"/>
    </row>
    <row r="559" spans="1:11" x14ac:dyDescent="0.3">
      <c r="A559" t="str">
        <f>IF('F2 - Données facturation'!$N$32=0,"Hide","")</f>
        <v>Hide</v>
      </c>
      <c r="C559" s="404"/>
      <c r="D559" s="404"/>
    </row>
    <row r="560" spans="1:11" x14ac:dyDescent="0.3">
      <c r="A560" t="str">
        <f>IF('F2 - Données facturation'!$N$32=0,"Hide","")</f>
        <v>Hide</v>
      </c>
      <c r="C560" s="404"/>
      <c r="D560" s="404"/>
    </row>
    <row r="561" spans="1:4" x14ac:dyDescent="0.3">
      <c r="A561" t="str">
        <f>IF('F2 - Données facturation'!$N$32=0,"Hide","")</f>
        <v>Hide</v>
      </c>
      <c r="C561" s="404"/>
      <c r="D561" s="404"/>
    </row>
    <row r="562" spans="1:4" x14ac:dyDescent="0.3">
      <c r="A562" t="str">
        <f>IF('F2 - Données facturation'!$N$32=0,"Hide","")</f>
        <v>Hide</v>
      </c>
      <c r="C562" s="404" t="s">
        <v>727</v>
      </c>
      <c r="D562" s="404"/>
    </row>
    <row r="563" spans="1:4" x14ac:dyDescent="0.3">
      <c r="A563" t="str">
        <f>IF('F2 - Données facturation'!$N$32=0,"Hide","")</f>
        <v>Hide</v>
      </c>
      <c r="C563" s="404" t="s">
        <v>728</v>
      </c>
      <c r="D563" s="404"/>
    </row>
    <row r="564" spans="1:4" x14ac:dyDescent="0.3">
      <c r="A564" t="str">
        <f>IF('F2 - Données facturation'!$N$32=0,"Hide","")</f>
        <v>Hide</v>
      </c>
    </row>
    <row r="565" spans="1:4" x14ac:dyDescent="0.3">
      <c r="A565" t="str">
        <f>IF('F2 - Données facturation'!$N$32=0,"Hide","")</f>
        <v>Hide</v>
      </c>
    </row>
    <row r="566" spans="1:4" x14ac:dyDescent="0.3">
      <c r="A566" t="str">
        <f>IF('F2 - Données facturation'!$N$32=0,"Hide","")</f>
        <v>Hide</v>
      </c>
    </row>
    <row r="567" spans="1:4" ht="17.399999999999999" x14ac:dyDescent="0.3">
      <c r="A567" t="str">
        <f>IF('F2 - Données facturation'!$N$32=0,"Hide","")</f>
        <v>Hide</v>
      </c>
      <c r="C567" s="445"/>
    </row>
    <row r="568" spans="1:4" x14ac:dyDescent="0.3">
      <c r="A568" t="str">
        <f>IF('F2 - Données facturation'!$N$32=0,"Hide","")</f>
        <v>Hide</v>
      </c>
    </row>
    <row r="569" spans="1:4" x14ac:dyDescent="0.3">
      <c r="A569" t="str">
        <f>IF('F2 - Données facturation'!$N$32=0,"Hide","")</f>
        <v>Hide</v>
      </c>
    </row>
    <row r="570" spans="1:4" x14ac:dyDescent="0.3">
      <c r="A570" t="str">
        <f>IF('F2 - Données facturation'!$N$32=0,"Hide","")</f>
        <v>Hide</v>
      </c>
    </row>
    <row r="571" spans="1:4" x14ac:dyDescent="0.3">
      <c r="A571" t="str">
        <f>IF('F2 - Données facturation'!$N$32=0,"Hide","")</f>
        <v>Hide</v>
      </c>
    </row>
    <row r="572" spans="1:4" x14ac:dyDescent="0.3">
      <c r="A572" t="str">
        <f>IF('F2 - Données facturation'!$N$32=0,"Hide","")</f>
        <v>Hide</v>
      </c>
      <c r="B572" t="s">
        <v>590</v>
      </c>
      <c r="C572">
        <f>'F0 - Données générales'!C2</f>
        <v>0</v>
      </c>
    </row>
    <row r="573" spans="1:4" x14ac:dyDescent="0.3">
      <c r="A573" t="str">
        <f>IF('F2 - Données facturation'!$N$32=0,"Hide","")</f>
        <v>Hide</v>
      </c>
      <c r="B573" t="s">
        <v>589</v>
      </c>
      <c r="C573">
        <f>'F0 - Données générales'!C4</f>
        <v>7</v>
      </c>
    </row>
    <row r="574" spans="1:4" x14ac:dyDescent="0.3">
      <c r="A574" t="str">
        <f>IF('F2 - Données facturation'!$N$32=0,"Hide","")</f>
        <v>Hide</v>
      </c>
    </row>
    <row r="575" spans="1:4" x14ac:dyDescent="0.3">
      <c r="A575" t="str">
        <f>IF('F2 - Données facturation'!$N$32=0,"Hide","")</f>
        <v>Hide</v>
      </c>
    </row>
    <row r="576" spans="1:4" ht="15" thickBot="1" x14ac:dyDescent="0.35">
      <c r="A576" t="str">
        <f>IF('F2 - Données facturation'!$N$32=0,"Hide","")</f>
        <v>Hide</v>
      </c>
    </row>
    <row r="577" spans="1:11" ht="15" thickBot="1" x14ac:dyDescent="0.35">
      <c r="A577" t="str">
        <f>IF('F2 - Données facturation'!$N$32=0,"Hide","")</f>
        <v>Hide</v>
      </c>
      <c r="C577" s="442" t="s">
        <v>588</v>
      </c>
      <c r="D577" s="442" t="s">
        <v>587</v>
      </c>
      <c r="E577" s="442" t="s">
        <v>586</v>
      </c>
      <c r="F577" s="442" t="s">
        <v>505</v>
      </c>
      <c r="G577" s="442" t="s">
        <v>585</v>
      </c>
      <c r="H577" s="442" t="s">
        <v>180</v>
      </c>
      <c r="I577" s="442" t="s">
        <v>584</v>
      </c>
      <c r="J577" s="478" t="s">
        <v>648</v>
      </c>
      <c r="K577" s="478" t="s">
        <v>647</v>
      </c>
    </row>
    <row r="578" spans="1:11" ht="15" thickBot="1" x14ac:dyDescent="0.35">
      <c r="A578" t="str">
        <f>IF('F2 - Données facturation'!$N$32=0,"Hide","")</f>
        <v>Hide</v>
      </c>
      <c r="C578" s="442" t="s">
        <v>94</v>
      </c>
      <c r="D578" s="444">
        <f>D178</f>
        <v>0</v>
      </c>
      <c r="E578" s="444">
        <f t="shared" ref="E578:K578" si="3">E178</f>
        <v>0</v>
      </c>
      <c r="F578" s="444">
        <f t="shared" si="3"/>
        <v>0</v>
      </c>
      <c r="G578" s="444">
        <f t="shared" si="3"/>
        <v>0</v>
      </c>
      <c r="H578" s="444">
        <f t="shared" si="3"/>
        <v>0</v>
      </c>
      <c r="I578" s="444">
        <f t="shared" si="3"/>
        <v>0</v>
      </c>
      <c r="J578" s="444">
        <f t="shared" si="3"/>
        <v>0</v>
      </c>
      <c r="K578" s="444">
        <f t="shared" si="3"/>
        <v>0</v>
      </c>
    </row>
    <row r="579" spans="1:11" ht="15" thickBot="1" x14ac:dyDescent="0.35">
      <c r="A579" t="str">
        <f>IF('F2 - Données facturation'!$N$32=0,"Hide","")</f>
        <v>Hide</v>
      </c>
      <c r="B579" s="443">
        <v>365</v>
      </c>
      <c r="C579" s="442" t="s">
        <v>583</v>
      </c>
      <c r="D579" s="441">
        <f>D578/$B$579</f>
        <v>0</v>
      </c>
      <c r="E579" s="441">
        <f t="shared" ref="E579:K579" si="4">E578/$B$579</f>
        <v>0</v>
      </c>
      <c r="F579" s="441">
        <f t="shared" si="4"/>
        <v>0</v>
      </c>
      <c r="G579" s="441">
        <f t="shared" si="4"/>
        <v>0</v>
      </c>
      <c r="H579" s="441">
        <f t="shared" si="4"/>
        <v>0</v>
      </c>
      <c r="I579" s="441">
        <f t="shared" si="4"/>
        <v>0</v>
      </c>
      <c r="J579" s="441">
        <f t="shared" si="4"/>
        <v>0</v>
      </c>
      <c r="K579" s="441">
        <f t="shared" si="4"/>
        <v>0</v>
      </c>
    </row>
    <row r="580" spans="1:11" x14ac:dyDescent="0.3">
      <c r="A580" t="str">
        <f>IF('F2 - Données facturation'!$N$32=0,"Hide","")</f>
        <v>Hide</v>
      </c>
      <c r="B580" s="437"/>
      <c r="D580" s="304"/>
      <c r="E580" s="304"/>
      <c r="F580" s="304"/>
      <c r="G580" s="304"/>
      <c r="H580" s="304"/>
      <c r="I580" s="304"/>
    </row>
    <row r="581" spans="1:11" x14ac:dyDescent="0.3">
      <c r="A581" t="str">
        <f>IF('F2 - Données facturation'!$N$32=0,"Hide","")</f>
        <v>Hide</v>
      </c>
      <c r="B581" s="440"/>
      <c r="C581" s="432"/>
      <c r="D581" s="435"/>
      <c r="E581" s="435"/>
      <c r="F581" s="435"/>
      <c r="G581" s="435"/>
      <c r="H581" s="435"/>
      <c r="I581" s="432"/>
    </row>
    <row r="582" spans="1:11" x14ac:dyDescent="0.3">
      <c r="A582" t="str">
        <f>IF('F2 - Données facturation'!$F$32=0,"Hide","")</f>
        <v>Hide</v>
      </c>
      <c r="B582" s="440"/>
      <c r="C582" s="432"/>
      <c r="D582" s="435"/>
      <c r="E582" s="435"/>
      <c r="F582" s="435"/>
      <c r="G582" s="435"/>
      <c r="H582" s="435"/>
      <c r="I582" s="432"/>
    </row>
    <row r="583" spans="1:11" x14ac:dyDescent="0.3">
      <c r="A583" t="str">
        <f>IF('F2 - Données facturation'!$F$32=0,"Hide","")</f>
        <v>Hide</v>
      </c>
      <c r="B583" s="440"/>
      <c r="C583" s="432"/>
      <c r="D583" s="435"/>
      <c r="E583" s="435"/>
      <c r="F583" s="435"/>
      <c r="G583" s="435"/>
      <c r="H583" s="435"/>
      <c r="I583" s="432"/>
    </row>
    <row r="584" spans="1:11" x14ac:dyDescent="0.3">
      <c r="A584" t="str">
        <f>IF('F2 - Données facturation'!$F$32=0,"Hide","")</f>
        <v>Hide</v>
      </c>
      <c r="B584" s="432"/>
      <c r="C584" s="432"/>
      <c r="D584" s="432"/>
      <c r="E584" s="432"/>
      <c r="F584" s="432"/>
      <c r="G584" s="432"/>
      <c r="H584" s="432"/>
      <c r="I584" s="432"/>
    </row>
    <row r="585" spans="1:11" x14ac:dyDescent="0.3">
      <c r="A585" t="str">
        <f>IF('F2 - Données facturation'!$F$32=0,"Hide","")</f>
        <v>Hide</v>
      </c>
      <c r="B585" s="432"/>
      <c r="C585" s="432"/>
      <c r="D585" s="432"/>
      <c r="E585" s="432"/>
      <c r="F585" s="432"/>
      <c r="G585" s="432"/>
      <c r="H585" s="432"/>
      <c r="I585" s="432"/>
    </row>
    <row r="586" spans="1:11" x14ac:dyDescent="0.3">
      <c r="A586" t="str">
        <f>IF('F2 - Données facturation'!$F$32=0,"Hide","")</f>
        <v>Hide</v>
      </c>
      <c r="B586" s="432"/>
      <c r="C586" s="1017" t="s">
        <v>582</v>
      </c>
      <c r="D586" s="1017"/>
      <c r="E586" s="1017"/>
      <c r="F586" s="1017"/>
      <c r="G586" s="1017"/>
      <c r="H586" s="1017"/>
      <c r="I586" s="432"/>
    </row>
    <row r="587" spans="1:11" x14ac:dyDescent="0.3">
      <c r="A587" t="str">
        <f>IF('F2 - Données facturation'!$F$32=0,"Hide","")</f>
        <v>Hide</v>
      </c>
      <c r="B587" s="432"/>
      <c r="C587" s="432"/>
      <c r="D587" s="432"/>
      <c r="E587" s="432"/>
      <c r="F587" s="432"/>
      <c r="G587" s="432"/>
      <c r="H587" s="432"/>
      <c r="I587" s="432"/>
    </row>
    <row r="588" spans="1:11" x14ac:dyDescent="0.3">
      <c r="A588" t="str">
        <f>IF('F2 - Données facturation'!$F$32=0,"Hide","")</f>
        <v>Hide</v>
      </c>
      <c r="B588" s="432"/>
      <c r="C588" s="436" t="s">
        <v>581</v>
      </c>
      <c r="D588" s="432"/>
      <c r="E588" s="432"/>
      <c r="F588" s="432"/>
      <c r="G588" s="432"/>
      <c r="H588" s="432"/>
      <c r="I588" s="432"/>
    </row>
    <row r="589" spans="1:11" x14ac:dyDescent="0.3">
      <c r="A589" t="str">
        <f>IF('F2 - Données facturation'!$F$32=0,"Hide","")</f>
        <v>Hide</v>
      </c>
      <c r="B589" s="432"/>
      <c r="C589" s="432"/>
      <c r="D589" s="432"/>
      <c r="E589" s="432"/>
      <c r="F589" s="432"/>
      <c r="G589" s="432"/>
      <c r="H589" s="432"/>
      <c r="I589" s="432"/>
    </row>
    <row r="590" spans="1:11" x14ac:dyDescent="0.3">
      <c r="A590" t="str">
        <f>IF('F2 - Données facturation'!$F$32=0,"Hide","")</f>
        <v>Hide</v>
      </c>
      <c r="B590" s="432"/>
      <c r="C590" s="432" t="s">
        <v>580</v>
      </c>
      <c r="D590" s="432"/>
      <c r="E590" s="433">
        <f>0.54*D579</f>
        <v>0</v>
      </c>
      <c r="F590" s="432" t="s">
        <v>533</v>
      </c>
      <c r="G590" s="432"/>
      <c r="H590" s="432"/>
      <c r="I590" s="432"/>
    </row>
    <row r="591" spans="1:11" x14ac:dyDescent="0.3">
      <c r="A591" t="str">
        <f>IF('F2 - Données facturation'!$F$32=0,"Hide","")</f>
        <v>Hide</v>
      </c>
      <c r="B591" s="432"/>
      <c r="C591" s="432"/>
      <c r="D591" s="432"/>
      <c r="E591" s="432"/>
      <c r="F591" s="432"/>
      <c r="G591" s="432"/>
      <c r="H591" s="432"/>
      <c r="I591" s="432"/>
    </row>
    <row r="592" spans="1:11" x14ac:dyDescent="0.3">
      <c r="A592" t="str">
        <f>IF('F2 - Données facturation'!$F$32=0,"Hide","")</f>
        <v>Hide</v>
      </c>
      <c r="B592" s="432"/>
      <c r="C592" s="436" t="s">
        <v>541</v>
      </c>
      <c r="D592" s="432"/>
      <c r="E592" s="432"/>
      <c r="F592" s="432"/>
      <c r="G592" s="432"/>
      <c r="H592" s="432"/>
      <c r="I592" s="432"/>
    </row>
    <row r="593" spans="1:9" x14ac:dyDescent="0.3">
      <c r="A593" t="str">
        <f>IF('F2 - Données facturation'!$F$32=0,"Hide","")</f>
        <v>Hide</v>
      </c>
      <c r="B593" s="432"/>
      <c r="C593" s="432" t="s">
        <v>540</v>
      </c>
      <c r="D593" s="432"/>
      <c r="E593" s="432"/>
      <c r="F593" s="432"/>
      <c r="G593" s="432"/>
      <c r="H593" s="432"/>
      <c r="I593" s="432"/>
    </row>
    <row r="594" spans="1:9" x14ac:dyDescent="0.3">
      <c r="A594" t="str">
        <f>IF('F2 - Données facturation'!$F$32=0,"Hide","")</f>
        <v>Hide</v>
      </c>
      <c r="B594" s="432"/>
      <c r="C594" s="432"/>
      <c r="D594" s="432"/>
      <c r="E594" s="432"/>
      <c r="F594" s="432"/>
      <c r="G594" s="432"/>
      <c r="H594" s="432"/>
      <c r="I594" s="432"/>
    </row>
    <row r="595" spans="1:9" x14ac:dyDescent="0.3">
      <c r="A595" t="str">
        <f>IF('F2 - Données facturation'!$F$32=0,"Hide","")</f>
        <v>Hide</v>
      </c>
      <c r="B595" s="432"/>
      <c r="C595" s="1011" t="s">
        <v>539</v>
      </c>
      <c r="D595" s="1011"/>
      <c r="E595" s="433">
        <f>0.11*D579</f>
        <v>0</v>
      </c>
      <c r="F595" s="432" t="s">
        <v>533</v>
      </c>
      <c r="G595" s="432"/>
      <c r="H595" s="432"/>
      <c r="I595" s="432"/>
    </row>
    <row r="596" spans="1:9" x14ac:dyDescent="0.3">
      <c r="A596" t="str">
        <f>IF('F2 - Données facturation'!$F$32=0,"Hide","")</f>
        <v>Hide</v>
      </c>
      <c r="B596" s="432"/>
      <c r="C596" s="432"/>
      <c r="D596" s="432"/>
      <c r="E596" s="432"/>
      <c r="F596" s="432"/>
      <c r="G596" s="432"/>
      <c r="H596" s="432"/>
      <c r="I596" s="432"/>
    </row>
    <row r="597" spans="1:9" x14ac:dyDescent="0.3">
      <c r="A597" t="str">
        <f>IF('F2 - Données facturation'!$F$32=0,"Hide","")</f>
        <v>Hide</v>
      </c>
      <c r="B597" s="432"/>
      <c r="C597" s="432" t="s">
        <v>538</v>
      </c>
      <c r="D597" s="432"/>
      <c r="E597" s="432"/>
      <c r="F597" s="432"/>
      <c r="G597" s="432"/>
      <c r="H597" s="432"/>
      <c r="I597" s="432"/>
    </row>
    <row r="598" spans="1:9" x14ac:dyDescent="0.3">
      <c r="A598" t="str">
        <f>IF('F2 - Données facturation'!$F$32=0,"Hide","")</f>
        <v>Hide</v>
      </c>
      <c r="B598" s="432"/>
      <c r="C598" s="432"/>
      <c r="D598" s="432"/>
      <c r="E598" s="432"/>
      <c r="F598" s="432"/>
      <c r="G598" s="432"/>
      <c r="H598" s="432"/>
      <c r="I598" s="432"/>
    </row>
    <row r="599" spans="1:9" x14ac:dyDescent="0.3">
      <c r="A599" t="str">
        <f>IF('F2 - Données facturation'!$F$32=0,"Hide","")</f>
        <v>Hide</v>
      </c>
      <c r="B599" s="432"/>
      <c r="C599" s="1011" t="s">
        <v>537</v>
      </c>
      <c r="D599" s="1011"/>
      <c r="E599" s="433">
        <f xml:space="preserve"> 0.22*D579</f>
        <v>0</v>
      </c>
      <c r="F599" s="432" t="s">
        <v>533</v>
      </c>
      <c r="G599" s="432"/>
      <c r="H599" s="432"/>
      <c r="I599" s="432"/>
    </row>
    <row r="600" spans="1:9" x14ac:dyDescent="0.3">
      <c r="A600" t="str">
        <f>IF('F2 - Données facturation'!$F$32=0,"Hide","")</f>
        <v>Hide</v>
      </c>
      <c r="B600" s="432"/>
      <c r="C600" s="432"/>
      <c r="D600" s="432"/>
      <c r="E600" s="432"/>
      <c r="F600" s="432"/>
      <c r="G600" s="432"/>
      <c r="H600" s="432"/>
      <c r="I600" s="432"/>
    </row>
    <row r="601" spans="1:9" x14ac:dyDescent="0.3">
      <c r="A601" t="str">
        <f>IF('F2 - Données facturation'!$F$32=0,"Hide","")</f>
        <v>Hide</v>
      </c>
      <c r="B601" s="432"/>
      <c r="C601" s="1013" t="s">
        <v>579</v>
      </c>
      <c r="D601" s="1013"/>
      <c r="E601" s="1013"/>
      <c r="F601" s="1013"/>
      <c r="G601" s="1013"/>
      <c r="H601" s="1013"/>
      <c r="I601" s="432"/>
    </row>
    <row r="602" spans="1:9" x14ac:dyDescent="0.3">
      <c r="A602" t="str">
        <f>IF('F2 - Données facturation'!$F$32=0,"Hide","")</f>
        <v>Hide</v>
      </c>
      <c r="B602" s="432"/>
      <c r="C602" s="432"/>
      <c r="D602" s="432"/>
      <c r="E602" s="432"/>
      <c r="F602" s="432"/>
      <c r="G602" s="432"/>
      <c r="H602" s="432"/>
      <c r="I602" s="432"/>
    </row>
    <row r="603" spans="1:9" x14ac:dyDescent="0.3">
      <c r="A603" t="str">
        <f>IF('F2 - Données facturation'!$F$32=0,"Hide","")</f>
        <v>Hide</v>
      </c>
      <c r="B603" s="432"/>
      <c r="C603" s="433">
        <f>E590+E595</f>
        <v>0</v>
      </c>
      <c r="D603" s="432" t="s">
        <v>533</v>
      </c>
      <c r="E603" s="432"/>
      <c r="F603" s="432"/>
      <c r="G603" s="432"/>
      <c r="H603" s="432"/>
      <c r="I603" s="432"/>
    </row>
    <row r="604" spans="1:9" x14ac:dyDescent="0.3">
      <c r="A604" t="str">
        <f>IF('F2 - Données facturation'!$F$32=0,"Hide","")</f>
        <v>Hide</v>
      </c>
      <c r="B604" s="432"/>
      <c r="C604" s="432"/>
      <c r="D604" s="432"/>
      <c r="E604" s="432"/>
      <c r="F604" s="432"/>
      <c r="G604" s="432"/>
      <c r="H604" s="432"/>
      <c r="I604" s="432"/>
    </row>
    <row r="605" spans="1:9" x14ac:dyDescent="0.3">
      <c r="A605" t="str">
        <f>IF('F2 - Données facturation'!$F$32=0,"Hide","")</f>
        <v>Hide</v>
      </c>
      <c r="B605" s="432"/>
      <c r="C605" s="1015" t="s">
        <v>578</v>
      </c>
      <c r="D605" s="1015"/>
      <c r="E605" s="1015"/>
      <c r="F605" s="1015"/>
      <c r="G605" s="1015"/>
      <c r="H605" s="1015"/>
      <c r="I605" s="432"/>
    </row>
    <row r="606" spans="1:9" x14ac:dyDescent="0.3">
      <c r="A606" t="str">
        <f>IF('F2 - Données facturation'!$F$32=0,"Hide","")</f>
        <v>Hide</v>
      </c>
      <c r="B606" s="432"/>
      <c r="C606" s="432"/>
      <c r="D606" s="432"/>
      <c r="E606" s="432"/>
      <c r="F606" s="432"/>
      <c r="G606" s="432"/>
      <c r="H606" s="432"/>
      <c r="I606" s="432"/>
    </row>
    <row r="607" spans="1:9" x14ac:dyDescent="0.3">
      <c r="A607" t="str">
        <f>IF('F2 - Données facturation'!$F$32=0,"Hide","")</f>
        <v>Hide</v>
      </c>
      <c r="B607" s="432"/>
      <c r="C607" s="433">
        <f>E590+E599</f>
        <v>0</v>
      </c>
      <c r="D607" s="432" t="s">
        <v>533</v>
      </c>
      <c r="E607" s="432"/>
      <c r="F607" s="432"/>
      <c r="G607" s="432"/>
      <c r="H607" s="432"/>
      <c r="I607" s="432"/>
    </row>
    <row r="608" spans="1:9" x14ac:dyDescent="0.3">
      <c r="A608" t="str">
        <f>IF('F2 - Données facturation'!$F$32=0,"Hide","")</f>
        <v>Hide</v>
      </c>
      <c r="B608" s="432"/>
      <c r="C608" s="432"/>
      <c r="D608" s="432"/>
      <c r="E608" s="432"/>
      <c r="F608" s="432"/>
      <c r="G608" s="432"/>
      <c r="H608" s="432"/>
      <c r="I608" s="432"/>
    </row>
    <row r="609" spans="1:9" x14ac:dyDescent="0.3">
      <c r="A609" t="str">
        <f>IF('F2 - Données facturation'!$F$32=0,"Hide","")</f>
        <v>Hide</v>
      </c>
      <c r="B609" s="432"/>
      <c r="C609" s="1016" t="s">
        <v>577</v>
      </c>
      <c r="D609" s="1016"/>
      <c r="E609" s="1016"/>
      <c r="F609" s="1016"/>
      <c r="G609" s="1016"/>
      <c r="H609" s="1016"/>
      <c r="I609" s="432"/>
    </row>
    <row r="610" spans="1:9" x14ac:dyDescent="0.3">
      <c r="A610" t="str">
        <f>IF('F2 - Données facturation'!$F$32=0,"Hide","")</f>
        <v>Hide</v>
      </c>
      <c r="B610" s="432"/>
      <c r="C610" s="432"/>
      <c r="D610" s="432"/>
      <c r="E610" s="432"/>
      <c r="F610" s="432"/>
      <c r="G610" s="432"/>
      <c r="H610" s="432"/>
      <c r="I610" s="432"/>
    </row>
    <row r="611" spans="1:9" x14ac:dyDescent="0.3">
      <c r="A611" t="str">
        <f>IF('F2 - Données facturation'!$F$32=0,"Hide","")</f>
        <v>Hide</v>
      </c>
      <c r="B611" s="432"/>
      <c r="C611" s="433">
        <f>C603</f>
        <v>0</v>
      </c>
      <c r="D611" s="438" t="s">
        <v>533</v>
      </c>
      <c r="E611" s="432"/>
      <c r="F611" s="432"/>
      <c r="G611" s="432"/>
      <c r="H611" s="432"/>
      <c r="I611" s="432"/>
    </row>
    <row r="612" spans="1:9" x14ac:dyDescent="0.3">
      <c r="A612" t="str">
        <f>IF('F2 - Données facturation'!$F$32=0,"Hide","")</f>
        <v>Hide</v>
      </c>
      <c r="B612" s="432"/>
      <c r="C612" s="432"/>
      <c r="D612" s="432"/>
      <c r="E612" s="432"/>
      <c r="F612" s="432"/>
      <c r="G612" s="432"/>
      <c r="H612" s="432"/>
      <c r="I612" s="432"/>
    </row>
    <row r="613" spans="1:9" x14ac:dyDescent="0.3">
      <c r="A613" t="str">
        <f>IF('F2 - Données facturation'!$F$32=0,"Hide","")</f>
        <v>Hide</v>
      </c>
      <c r="B613" s="432"/>
      <c r="C613" s="432"/>
      <c r="D613" s="432"/>
      <c r="E613" s="432"/>
      <c r="F613" s="432"/>
      <c r="G613" s="432"/>
      <c r="H613" s="432"/>
      <c r="I613" s="432"/>
    </row>
    <row r="614" spans="1:9" x14ac:dyDescent="0.3">
      <c r="A614" t="str">
        <f>IF('F2 - Données facturation'!$F$32=0,"Hide","")</f>
        <v>Hide</v>
      </c>
      <c r="B614" s="432"/>
      <c r="C614" s="1017" t="s">
        <v>532</v>
      </c>
      <c r="D614" s="1017"/>
      <c r="E614" s="1017"/>
      <c r="F614" s="1017"/>
      <c r="G614" s="1017"/>
      <c r="H614" s="1017"/>
      <c r="I614" s="432"/>
    </row>
    <row r="615" spans="1:9" x14ac:dyDescent="0.3">
      <c r="A615" t="str">
        <f>IF('F2 - Données facturation'!$F$32=0,"Hide","")</f>
        <v>Hide</v>
      </c>
      <c r="B615" s="432"/>
      <c r="C615" s="432"/>
      <c r="D615" s="432"/>
      <c r="E615" s="432"/>
      <c r="F615" s="432"/>
      <c r="G615" s="432"/>
      <c r="H615" s="432"/>
      <c r="I615" s="432"/>
    </row>
    <row r="616" spans="1:9" x14ac:dyDescent="0.3">
      <c r="A616" t="str">
        <f>IF('F2 - Données facturation'!$F$32=0,"Hide","")</f>
        <v>Hide</v>
      </c>
      <c r="B616" s="432"/>
      <c r="C616" s="436" t="s">
        <v>531</v>
      </c>
      <c r="D616" s="432"/>
      <c r="E616" s="432"/>
      <c r="F616" s="432"/>
      <c r="G616" s="432"/>
      <c r="H616" s="432"/>
      <c r="I616" s="432"/>
    </row>
    <row r="617" spans="1:9" x14ac:dyDescent="0.3">
      <c r="A617" t="str">
        <f>IF('F2 - Données facturation'!$F$32=0,"Hide","")</f>
        <v>Hide</v>
      </c>
      <c r="B617" s="432"/>
      <c r="C617" s="432" t="s">
        <v>530</v>
      </c>
      <c r="D617" s="432"/>
      <c r="E617" s="433">
        <f>C611*0.2</f>
        <v>0</v>
      </c>
      <c r="F617" s="432" t="s">
        <v>529</v>
      </c>
      <c r="G617" s="432"/>
      <c r="H617" s="432"/>
      <c r="I617" s="432"/>
    </row>
    <row r="618" spans="1:9" x14ac:dyDescent="0.3">
      <c r="A618" t="str">
        <f>IF('F2 - Données facturation'!$F$32=0,"Hide","")</f>
        <v>Hide</v>
      </c>
      <c r="B618" s="432"/>
      <c r="C618" s="432" t="s">
        <v>528</v>
      </c>
      <c r="D618" s="432"/>
      <c r="E618" s="435">
        <f>E617*40</f>
        <v>0</v>
      </c>
      <c r="F618" s="432" t="s">
        <v>527</v>
      </c>
      <c r="G618" s="432"/>
      <c r="H618" s="432"/>
      <c r="I618" s="432"/>
    </row>
    <row r="619" spans="1:9" x14ac:dyDescent="0.3">
      <c r="A619" t="str">
        <f>IF('F2 - Données facturation'!$F$32=0,"Hide","")</f>
        <v>Hide</v>
      </c>
      <c r="B619" s="432"/>
      <c r="C619" s="432"/>
      <c r="D619" s="432"/>
      <c r="E619" s="432"/>
      <c r="F619" s="432"/>
      <c r="G619" s="432"/>
      <c r="H619" s="432"/>
      <c r="I619" s="432"/>
    </row>
    <row r="620" spans="1:9" x14ac:dyDescent="0.3">
      <c r="A620" t="str">
        <f>IF('F2 - Données facturation'!$F$32=0,"Hide","")</f>
        <v>Hide</v>
      </c>
      <c r="B620" s="432"/>
      <c r="C620" s="432" t="s">
        <v>526</v>
      </c>
      <c r="D620" s="432"/>
      <c r="E620" s="432"/>
      <c r="F620" s="432"/>
      <c r="G620" s="432"/>
      <c r="H620" s="432"/>
      <c r="I620" s="432"/>
    </row>
    <row r="621" spans="1:9" x14ac:dyDescent="0.3">
      <c r="A621" t="str">
        <f>IF('F2 - Données facturation'!$F$32=0,"Hide","")</f>
        <v>Hide</v>
      </c>
      <c r="B621" s="432"/>
      <c r="C621" s="1009" t="s">
        <v>525</v>
      </c>
      <c r="D621" s="1009"/>
      <c r="E621" s="1009"/>
      <c r="F621" s="1009"/>
      <c r="G621" s="1009"/>
      <c r="H621" s="1009"/>
      <c r="I621" s="432"/>
    </row>
    <row r="622" spans="1:9" x14ac:dyDescent="0.3">
      <c r="A622" t="str">
        <f>IF('F2 - Données facturation'!$F$32=0,"Hide","")</f>
        <v>Hide</v>
      </c>
      <c r="B622" s="432"/>
      <c r="C622" s="432"/>
      <c r="D622" s="432"/>
      <c r="E622" s="432"/>
      <c r="F622" s="432"/>
      <c r="G622" s="432"/>
      <c r="H622" s="432"/>
      <c r="I622" s="432"/>
    </row>
    <row r="623" spans="1:9" x14ac:dyDescent="0.3">
      <c r="A623" t="str">
        <f>IF('F2 - Données facturation'!$F$32=0,"Hide","")</f>
        <v>Hide</v>
      </c>
      <c r="B623" s="432"/>
      <c r="C623" s="435" t="s">
        <v>576</v>
      </c>
      <c r="D623" s="432"/>
      <c r="E623" s="432"/>
      <c r="F623" s="432"/>
      <c r="G623" s="432"/>
      <c r="H623" s="432"/>
      <c r="I623" s="432"/>
    </row>
    <row r="624" spans="1:9" x14ac:dyDescent="0.3">
      <c r="A624" t="str">
        <f>IF('F2 - Données facturation'!$F$32=0,"Hide","")</f>
        <v>Hide</v>
      </c>
      <c r="B624" s="432"/>
      <c r="C624" s="433">
        <f>C611-E617</f>
        <v>0</v>
      </c>
      <c r="D624" s="432" t="s">
        <v>523</v>
      </c>
      <c r="E624" s="432"/>
      <c r="F624" s="432"/>
      <c r="G624" s="432"/>
      <c r="H624" s="432"/>
      <c r="I624" s="432"/>
    </row>
    <row r="625" spans="1:9" x14ac:dyDescent="0.3">
      <c r="A625" t="str">
        <f>IF('F2 - Données facturation'!$F$32=0,"Hide","")</f>
        <v>Hide</v>
      </c>
      <c r="B625" s="432"/>
      <c r="C625" s="432"/>
      <c r="D625" s="432"/>
      <c r="E625" s="432"/>
      <c r="F625" s="432"/>
      <c r="G625" s="432"/>
      <c r="H625" s="432"/>
      <c r="I625" s="432"/>
    </row>
    <row r="626" spans="1:9" x14ac:dyDescent="0.3">
      <c r="A626" t="str">
        <f>IF('F2 - Données facturation'!$F$32=0,"Hide","")</f>
        <v>Hide</v>
      </c>
      <c r="B626" s="432"/>
      <c r="C626" s="432"/>
      <c r="D626" s="432"/>
      <c r="E626" s="432"/>
      <c r="F626" s="432"/>
      <c r="G626" s="432"/>
      <c r="H626" s="432"/>
      <c r="I626" s="432"/>
    </row>
    <row r="627" spans="1:9" x14ac:dyDescent="0.3">
      <c r="A627" t="str">
        <f>IF('F2 - Données facturation'!$F$32=0,"Hide","")</f>
        <v>Hide</v>
      </c>
      <c r="B627" s="432"/>
      <c r="C627" s="432"/>
      <c r="D627" s="432"/>
      <c r="E627" s="432"/>
      <c r="F627" s="432"/>
      <c r="G627" s="432"/>
      <c r="H627" s="432"/>
      <c r="I627" s="432"/>
    </row>
    <row r="628" spans="1:9" x14ac:dyDescent="0.3">
      <c r="A628" t="str">
        <f>IF('F2 - Données facturation'!$F$32=0,"Hide","")</f>
        <v>Hide</v>
      </c>
      <c r="B628" s="432"/>
      <c r="C628" s="432"/>
      <c r="D628" s="432"/>
      <c r="E628" s="432"/>
      <c r="F628" s="432"/>
      <c r="G628" s="432"/>
      <c r="H628" s="432"/>
      <c r="I628" s="432"/>
    </row>
    <row r="629" spans="1:9" x14ac:dyDescent="0.3">
      <c r="A629" t="str">
        <f>IF('F2 - Données facturation'!$F$32=0,"Hide","")</f>
        <v>Hide</v>
      </c>
      <c r="B629" s="432"/>
      <c r="C629" s="432"/>
      <c r="D629" s="432"/>
      <c r="E629" s="432"/>
      <c r="F629" s="432"/>
      <c r="G629" s="432"/>
      <c r="H629" s="432"/>
      <c r="I629" s="432"/>
    </row>
    <row r="630" spans="1:9" x14ac:dyDescent="0.3">
      <c r="A630" t="str">
        <f>IF('F2 - Données facturation'!$F$32=0,"Hide","")</f>
        <v>Hide</v>
      </c>
      <c r="B630" s="432"/>
      <c r="C630" s="432"/>
      <c r="D630" s="432"/>
      <c r="E630" s="432"/>
      <c r="F630" s="432"/>
      <c r="G630" s="432"/>
      <c r="H630" s="432"/>
      <c r="I630" s="432"/>
    </row>
    <row r="631" spans="1:9" x14ac:dyDescent="0.3">
      <c r="A631" t="str">
        <f>IF('F2 - Données facturation'!$F$32=0,"Hide","")</f>
        <v>Hide</v>
      </c>
      <c r="B631" s="432"/>
      <c r="C631" s="432"/>
      <c r="D631" s="432"/>
      <c r="E631" s="432"/>
      <c r="F631" s="432"/>
      <c r="G631" s="432"/>
      <c r="H631" s="432"/>
      <c r="I631" s="432"/>
    </row>
    <row r="632" spans="1:9" x14ac:dyDescent="0.3">
      <c r="A632" t="str">
        <f>IF('F2 - Données facturation'!$F$32=0,"Hide","")</f>
        <v>Hide</v>
      </c>
      <c r="B632" s="432"/>
      <c r="C632" s="432"/>
      <c r="D632" s="432"/>
      <c r="E632" s="432"/>
      <c r="F632" s="432"/>
      <c r="G632" s="432"/>
      <c r="H632" s="432"/>
      <c r="I632" s="432"/>
    </row>
    <row r="633" spans="1:9" x14ac:dyDescent="0.3">
      <c r="A633" t="str">
        <f>IF('F2 - Données facturation'!$F$32=0,"Hide","")</f>
        <v>Hide</v>
      </c>
      <c r="B633" s="432"/>
      <c r="C633" s="432"/>
      <c r="D633" s="432"/>
      <c r="E633" s="432"/>
      <c r="F633" s="432"/>
      <c r="G633" s="432"/>
      <c r="H633" s="432"/>
      <c r="I633" s="432"/>
    </row>
    <row r="634" spans="1:9" x14ac:dyDescent="0.3">
      <c r="A634" t="str">
        <f>IF('F2 - Données facturation'!$F$32=0,"Hide","")</f>
        <v>Hide</v>
      </c>
      <c r="B634" s="432"/>
      <c r="C634" s="432"/>
      <c r="D634" s="432"/>
      <c r="E634" s="432"/>
      <c r="F634" s="432"/>
      <c r="G634" s="432"/>
      <c r="H634" s="432"/>
      <c r="I634" s="432"/>
    </row>
    <row r="635" spans="1:9" x14ac:dyDescent="0.3">
      <c r="A635" t="str">
        <f>IF('F2 - Données facturation'!$F$32=0,"Hide","")</f>
        <v>Hide</v>
      </c>
      <c r="B635" s="432"/>
      <c r="C635" s="432" t="s">
        <v>522</v>
      </c>
      <c r="D635" s="433">
        <f>C624</f>
        <v>0</v>
      </c>
      <c r="E635" s="432" t="s">
        <v>519</v>
      </c>
      <c r="F635" s="432"/>
      <c r="G635" s="432"/>
      <c r="H635" s="432"/>
      <c r="I635" s="432"/>
    </row>
    <row r="636" spans="1:9" ht="18" x14ac:dyDescent="0.35">
      <c r="A636" t="str">
        <f>IF('F2 - Données facturation'!$F$32=0,"Hide","")</f>
        <v>Hide</v>
      </c>
      <c r="B636" s="439" t="s">
        <v>574</v>
      </c>
      <c r="C636" s="433">
        <f>D635*0.2</f>
        <v>0</v>
      </c>
      <c r="D636" s="432" t="s">
        <v>521</v>
      </c>
      <c r="E636" s="432"/>
      <c r="F636" s="432"/>
      <c r="G636" s="432"/>
      <c r="H636" s="432"/>
      <c r="I636" s="432"/>
    </row>
    <row r="637" spans="1:9" x14ac:dyDescent="0.3">
      <c r="A637" t="str">
        <f>IF('F2 - Données facturation'!$F$32=0,"Hide","")</f>
        <v>Hide</v>
      </c>
      <c r="B637" s="432"/>
      <c r="C637" s="432"/>
      <c r="D637" s="432"/>
      <c r="E637" s="432"/>
      <c r="F637" s="432"/>
      <c r="G637" s="432"/>
      <c r="H637" s="432"/>
      <c r="I637" s="432"/>
    </row>
    <row r="638" spans="1:9" x14ac:dyDescent="0.3">
      <c r="A638" t="str">
        <f>IF('F2 - Données facturation'!$F$32=0,"Hide","")</f>
        <v>Hide</v>
      </c>
      <c r="B638" s="432"/>
      <c r="C638" s="432"/>
      <c r="D638" s="432"/>
      <c r="E638" s="432"/>
      <c r="F638" s="432"/>
      <c r="G638" s="432"/>
      <c r="H638" s="432"/>
      <c r="I638" s="432"/>
    </row>
    <row r="639" spans="1:9" x14ac:dyDescent="0.3">
      <c r="A639" t="str">
        <f>IF('F2 - Données facturation'!$F$32=0,"Hide","")</f>
        <v>Hide</v>
      </c>
      <c r="B639" s="432"/>
      <c r="C639" s="432"/>
      <c r="D639" s="432"/>
      <c r="E639" s="432"/>
      <c r="F639" s="432"/>
      <c r="G639" s="432"/>
      <c r="H639" s="432"/>
      <c r="I639" s="432"/>
    </row>
    <row r="640" spans="1:9" x14ac:dyDescent="0.3">
      <c r="A640" t="str">
        <f>IF('F2 - Données facturation'!$F$32=0,"Hide","")</f>
        <v>Hide</v>
      </c>
      <c r="B640" s="432"/>
      <c r="C640" s="432"/>
      <c r="D640" s="432"/>
      <c r="E640" s="432"/>
      <c r="F640" s="432"/>
      <c r="G640" s="432"/>
      <c r="H640" s="432"/>
      <c r="I640" s="432"/>
    </row>
    <row r="641" spans="1:9" x14ac:dyDescent="0.3">
      <c r="A641" t="str">
        <f>IF('F2 - Données facturation'!$F$32=0,"Hide","")</f>
        <v>Hide</v>
      </c>
      <c r="B641" s="432"/>
      <c r="C641" s="432"/>
      <c r="D641" s="432"/>
      <c r="E641" s="432"/>
      <c r="F641" s="432"/>
      <c r="G641" s="432"/>
      <c r="H641" s="432"/>
      <c r="I641" s="432"/>
    </row>
    <row r="642" spans="1:9" x14ac:dyDescent="0.3">
      <c r="A642" t="str">
        <f>IF('F2 - Données facturation'!$F$32=0,"Hide","")</f>
        <v>Hide</v>
      </c>
      <c r="B642" s="432"/>
      <c r="C642" s="434" t="s">
        <v>575</v>
      </c>
      <c r="D642" s="433">
        <f>C624</f>
        <v>0</v>
      </c>
      <c r="E642" s="432" t="s">
        <v>519</v>
      </c>
      <c r="F642" s="432"/>
      <c r="G642" s="432"/>
      <c r="H642" s="432"/>
      <c r="I642" s="432"/>
    </row>
    <row r="643" spans="1:9" ht="18" x14ac:dyDescent="0.35">
      <c r="A643" t="str">
        <f>IF('F2 - Données facturation'!$F$32=0,"Hide","")</f>
        <v>Hide</v>
      </c>
      <c r="B643" s="439" t="s">
        <v>574</v>
      </c>
      <c r="C643" s="433">
        <f>D642*0.23</f>
        <v>0</v>
      </c>
      <c r="D643" s="432" t="s">
        <v>518</v>
      </c>
      <c r="E643" s="432"/>
      <c r="F643" s="432"/>
      <c r="G643" s="432"/>
      <c r="H643" s="432"/>
      <c r="I643" s="432"/>
    </row>
    <row r="644" spans="1:9" x14ac:dyDescent="0.3">
      <c r="A644" t="str">
        <f>IF('F2 - Données facturation'!$F$32=0,"Hide","")</f>
        <v>Hide</v>
      </c>
      <c r="B644" s="432"/>
      <c r="C644" s="432"/>
      <c r="D644" s="432"/>
      <c r="E644" s="432"/>
      <c r="F644" s="432"/>
      <c r="G644" s="432"/>
      <c r="H644" s="432"/>
      <c r="I644" s="432"/>
    </row>
    <row r="645" spans="1:9" x14ac:dyDescent="0.3">
      <c r="A645" t="str">
        <f>IF('F2 - Données facturation'!$F$32=0,"Hide","")</f>
        <v>Hide</v>
      </c>
      <c r="B645" s="432"/>
      <c r="C645" s="432"/>
      <c r="D645" s="432"/>
      <c r="E645" s="432"/>
      <c r="F645" s="432"/>
      <c r="G645" s="432"/>
      <c r="H645" s="432"/>
      <c r="I645" s="432"/>
    </row>
    <row r="646" spans="1:9" x14ac:dyDescent="0.3">
      <c r="A646" t="str">
        <f>IF('F2 - Données facturation'!$F$32=0,"Hide","")</f>
        <v>Hide</v>
      </c>
      <c r="B646" s="432"/>
      <c r="C646" s="432"/>
      <c r="D646" s="432"/>
      <c r="E646" s="432"/>
      <c r="F646" s="432"/>
      <c r="G646" s="432"/>
      <c r="H646" s="432"/>
      <c r="I646" s="432"/>
    </row>
    <row r="647" spans="1:9" x14ac:dyDescent="0.3">
      <c r="A647" t="str">
        <f>IF('F2 - Données facturation'!$F$32=0,"Hide","")</f>
        <v>Hide</v>
      </c>
      <c r="B647" s="432"/>
      <c r="C647" s="1018" t="s">
        <v>517</v>
      </c>
      <c r="D647" s="1018"/>
      <c r="E647" s="1018"/>
      <c r="F647" s="433">
        <f>C624</f>
        <v>0</v>
      </c>
      <c r="G647" s="432" t="s">
        <v>56</v>
      </c>
      <c r="H647" s="432"/>
      <c r="I647" s="432"/>
    </row>
    <row r="648" spans="1:9" x14ac:dyDescent="0.3">
      <c r="A648" t="str">
        <f>IF('F2 - Données facturation'!$F$32=0,"Hide","")</f>
        <v>Hide</v>
      </c>
      <c r="B648" s="432"/>
      <c r="C648" s="1018" t="s">
        <v>573</v>
      </c>
      <c r="D648" s="1018"/>
      <c r="E648" s="1018"/>
      <c r="F648" s="433">
        <f>C636</f>
        <v>0</v>
      </c>
      <c r="G648" s="432" t="s">
        <v>56</v>
      </c>
      <c r="H648" s="432"/>
      <c r="I648" s="432"/>
    </row>
    <row r="649" spans="1:9" x14ac:dyDescent="0.3">
      <c r="A649" t="str">
        <f>IF('F2 - Données facturation'!$F$32=0,"Hide","")</f>
        <v>Hide</v>
      </c>
      <c r="B649" s="432"/>
      <c r="C649" s="1018" t="s">
        <v>572</v>
      </c>
      <c r="D649" s="1018"/>
      <c r="E649" s="1018"/>
      <c r="F649" s="433">
        <f>C643</f>
        <v>0</v>
      </c>
      <c r="G649" s="432" t="s">
        <v>56</v>
      </c>
      <c r="H649" s="432"/>
      <c r="I649" s="432"/>
    </row>
    <row r="650" spans="1:9" x14ac:dyDescent="0.3">
      <c r="A650" t="str">
        <f>IF('F2 - Données facturation'!$F$32=0,"Hide","")</f>
        <v>Hide</v>
      </c>
      <c r="B650" s="432"/>
      <c r="C650" s="432"/>
      <c r="D650" s="432"/>
      <c r="E650" s="432"/>
      <c r="F650" s="432"/>
      <c r="G650" s="432"/>
      <c r="H650" s="432"/>
      <c r="I650" s="432"/>
    </row>
    <row r="651" spans="1:9" ht="15.6" x14ac:dyDescent="0.3">
      <c r="A651" t="str">
        <f>IF('F2 - Données facturation'!$F$32=0,"Hide","")</f>
        <v>Hide</v>
      </c>
      <c r="B651" s="432"/>
      <c r="C651" s="1019" t="s">
        <v>571</v>
      </c>
      <c r="D651" s="1018"/>
      <c r="E651" s="1018"/>
      <c r="F651" s="433">
        <f>F647-F648-F649</f>
        <v>0</v>
      </c>
      <c r="G651" s="432" t="s">
        <v>56</v>
      </c>
      <c r="H651" s="432"/>
      <c r="I651" s="432"/>
    </row>
    <row r="652" spans="1:9" x14ac:dyDescent="0.3">
      <c r="A652" t="str">
        <f>IF('F2 - Données facturation'!$F$32=0,"Hide","")</f>
        <v>Hide</v>
      </c>
      <c r="B652" s="432"/>
      <c r="C652" s="432"/>
      <c r="D652" s="432"/>
      <c r="E652" s="432"/>
      <c r="F652" s="432"/>
      <c r="G652" s="432"/>
      <c r="H652" s="432"/>
      <c r="I652" s="432"/>
    </row>
    <row r="653" spans="1:9" x14ac:dyDescent="0.3">
      <c r="A653" t="str">
        <f>IF('F2 - Données facturation'!$G$32=0,"Hide","")</f>
        <v>Hide</v>
      </c>
      <c r="B653" s="432"/>
      <c r="C653" s="432"/>
      <c r="D653" s="432"/>
      <c r="E653" s="432"/>
      <c r="F653" s="432"/>
      <c r="G653" s="432"/>
      <c r="H653" s="432"/>
      <c r="I653" s="432"/>
    </row>
    <row r="654" spans="1:9" x14ac:dyDescent="0.3">
      <c r="A654" t="str">
        <f>IF('F2 - Données facturation'!$G$32=0,"Hide","")</f>
        <v>Hide</v>
      </c>
      <c r="B654" s="432"/>
      <c r="C654" s="432"/>
      <c r="D654" s="432"/>
      <c r="E654" s="432"/>
      <c r="F654" s="432"/>
      <c r="G654" s="432"/>
      <c r="H654" s="432"/>
      <c r="I654" s="432"/>
    </row>
    <row r="655" spans="1:9" x14ac:dyDescent="0.3">
      <c r="A655" t="str">
        <f>IF('F2 - Données facturation'!$G$32=0,"Hide","")</f>
        <v>Hide</v>
      </c>
      <c r="B655" s="432"/>
      <c r="C655" s="432"/>
      <c r="D655" s="432"/>
      <c r="E655" s="432"/>
      <c r="F655" s="432"/>
      <c r="G655" s="432"/>
      <c r="H655" s="432"/>
      <c r="I655" s="432"/>
    </row>
    <row r="656" spans="1:9" x14ac:dyDescent="0.3">
      <c r="A656" t="str">
        <f>IF('F2 - Données facturation'!$G$32=0,"Hide","")</f>
        <v>Hide</v>
      </c>
      <c r="B656" s="432"/>
      <c r="C656" s="432"/>
      <c r="D656" s="432"/>
      <c r="E656" s="432"/>
      <c r="F656" s="432"/>
      <c r="G656" s="432"/>
      <c r="H656" s="432"/>
      <c r="I656" s="432"/>
    </row>
    <row r="657" spans="1:9" x14ac:dyDescent="0.3">
      <c r="A657" t="str">
        <f>IF('F2 - Données facturation'!$G$32=0,"Hide","")</f>
        <v>Hide</v>
      </c>
      <c r="B657" s="432"/>
      <c r="C657" s="1014" t="s">
        <v>570</v>
      </c>
      <c r="D657" s="1014"/>
      <c r="E657" s="1014"/>
      <c r="F657" s="1014"/>
      <c r="G657" s="1014"/>
      <c r="H657" s="1014"/>
      <c r="I657" s="432"/>
    </row>
    <row r="658" spans="1:9" x14ac:dyDescent="0.3">
      <c r="A658" t="str">
        <f>IF('F2 - Données facturation'!$G$32=0,"Hide","")</f>
        <v>Hide</v>
      </c>
      <c r="B658" s="432"/>
      <c r="C658" s="432"/>
      <c r="D658" s="432"/>
      <c r="E658" s="432"/>
      <c r="F658" s="432"/>
      <c r="G658" s="432"/>
      <c r="H658" s="432"/>
      <c r="I658" s="432"/>
    </row>
    <row r="659" spans="1:9" x14ac:dyDescent="0.3">
      <c r="A659" t="str">
        <f>IF('F2 - Données facturation'!$G$32=0,"Hide","")</f>
        <v>Hide</v>
      </c>
      <c r="B659" s="432"/>
      <c r="C659" s="436" t="s">
        <v>569</v>
      </c>
      <c r="D659" s="432"/>
      <c r="E659" s="432"/>
      <c r="F659" s="432"/>
      <c r="G659" s="432"/>
      <c r="H659" s="432"/>
      <c r="I659" s="432"/>
    </row>
    <row r="660" spans="1:9" x14ac:dyDescent="0.3">
      <c r="A660" t="str">
        <f>IF('F2 - Données facturation'!$G$32=0,"Hide","")</f>
        <v>Hide</v>
      </c>
      <c r="B660" s="432"/>
      <c r="C660" s="432"/>
      <c r="D660" s="432"/>
      <c r="E660" s="432"/>
      <c r="F660" s="432"/>
      <c r="G660" s="432"/>
      <c r="H660" s="432"/>
      <c r="I660" s="432"/>
    </row>
    <row r="661" spans="1:9" x14ac:dyDescent="0.3">
      <c r="A661" t="str">
        <f>IF('F2 - Données facturation'!$G$32=0,"Hide","")</f>
        <v>Hide</v>
      </c>
      <c r="B661" s="432"/>
      <c r="C661" s="432" t="s">
        <v>568</v>
      </c>
      <c r="D661" s="432"/>
      <c r="E661" s="433">
        <f>0.64*E579</f>
        <v>0</v>
      </c>
      <c r="F661" s="432" t="s">
        <v>533</v>
      </c>
      <c r="G661" s="432"/>
      <c r="H661" s="432"/>
      <c r="I661" s="432"/>
    </row>
    <row r="662" spans="1:9" x14ac:dyDescent="0.3">
      <c r="A662" t="str">
        <f>IF('F2 - Données facturation'!$G$32=0,"Hide","")</f>
        <v>Hide</v>
      </c>
      <c r="B662" s="432"/>
      <c r="C662" s="432"/>
      <c r="D662" s="432"/>
      <c r="E662" s="432"/>
      <c r="F662" s="432"/>
      <c r="G662" s="432"/>
      <c r="H662" s="432"/>
      <c r="I662" s="432"/>
    </row>
    <row r="663" spans="1:9" x14ac:dyDescent="0.3">
      <c r="A663" t="str">
        <f>IF('F2 - Données facturation'!$G$32=0,"Hide","")</f>
        <v>Hide</v>
      </c>
      <c r="B663" s="432"/>
      <c r="C663" s="436" t="s">
        <v>541</v>
      </c>
      <c r="D663" s="432"/>
      <c r="E663" s="432"/>
      <c r="F663" s="432"/>
      <c r="G663" s="432"/>
      <c r="H663" s="432"/>
      <c r="I663" s="432"/>
    </row>
    <row r="664" spans="1:9" x14ac:dyDescent="0.3">
      <c r="A664" t="str">
        <f>IF('F2 - Données facturation'!$G$32=0,"Hide","")</f>
        <v>Hide</v>
      </c>
      <c r="B664" s="432"/>
      <c r="C664" s="432" t="s">
        <v>540</v>
      </c>
      <c r="D664" s="432"/>
      <c r="E664" s="432"/>
      <c r="F664" s="432"/>
      <c r="G664" s="432"/>
      <c r="H664" s="432"/>
      <c r="I664" s="432"/>
    </row>
    <row r="665" spans="1:9" x14ac:dyDescent="0.3">
      <c r="A665" t="str">
        <f>IF('F2 - Données facturation'!$G$32=0,"Hide","")</f>
        <v>Hide</v>
      </c>
      <c r="B665" s="432"/>
      <c r="C665" s="432"/>
      <c r="D665" s="432"/>
      <c r="E665" s="432"/>
      <c r="F665" s="432"/>
      <c r="G665" s="432"/>
      <c r="H665" s="432"/>
      <c r="I665" s="432"/>
    </row>
    <row r="666" spans="1:9" x14ac:dyDescent="0.3">
      <c r="A666" t="str">
        <f>IF('F2 - Données facturation'!$G$32=0,"Hide","")</f>
        <v>Hide</v>
      </c>
      <c r="B666" s="432"/>
      <c r="C666" s="1011" t="s">
        <v>539</v>
      </c>
      <c r="D666" s="1011"/>
      <c r="E666" s="433">
        <f>0.11*E579</f>
        <v>0</v>
      </c>
      <c r="F666" s="432" t="s">
        <v>533</v>
      </c>
      <c r="G666" s="432"/>
      <c r="H666" s="432"/>
      <c r="I666" s="432"/>
    </row>
    <row r="667" spans="1:9" x14ac:dyDescent="0.3">
      <c r="A667" t="str">
        <f>IF('F2 - Données facturation'!$G$32=0,"Hide","")</f>
        <v>Hide</v>
      </c>
      <c r="B667" s="432"/>
      <c r="C667" s="432"/>
      <c r="D667" s="432"/>
      <c r="E667" s="432"/>
      <c r="F667" s="432"/>
      <c r="G667" s="432"/>
      <c r="H667" s="432"/>
      <c r="I667" s="432"/>
    </row>
    <row r="668" spans="1:9" x14ac:dyDescent="0.3">
      <c r="A668" t="str">
        <f>IF('F2 - Données facturation'!$G$32=0,"Hide","")</f>
        <v>Hide</v>
      </c>
      <c r="B668" s="432"/>
      <c r="C668" s="432" t="s">
        <v>538</v>
      </c>
      <c r="D668" s="432"/>
      <c r="E668" s="432"/>
      <c r="F668" s="432"/>
      <c r="G668" s="432"/>
      <c r="H668" s="432"/>
      <c r="I668" s="432"/>
    </row>
    <row r="669" spans="1:9" x14ac:dyDescent="0.3">
      <c r="A669" t="str">
        <f>IF('F2 - Données facturation'!$G$32=0,"Hide","")</f>
        <v>Hide</v>
      </c>
      <c r="B669" s="432"/>
      <c r="C669" s="432"/>
      <c r="D669" s="432"/>
      <c r="E669" s="432"/>
      <c r="F669" s="432"/>
      <c r="G669" s="432"/>
      <c r="H669" s="432"/>
      <c r="I669" s="432"/>
    </row>
    <row r="670" spans="1:9" x14ac:dyDescent="0.3">
      <c r="A670" t="str">
        <f>IF('F2 - Données facturation'!$G$32=0,"Hide","")</f>
        <v>Hide</v>
      </c>
      <c r="B670" s="432"/>
      <c r="C670" s="1011" t="s">
        <v>537</v>
      </c>
      <c r="D670" s="1011"/>
      <c r="E670" s="433">
        <f xml:space="preserve"> 0.22*E579</f>
        <v>0</v>
      </c>
      <c r="F670" s="432" t="s">
        <v>533</v>
      </c>
      <c r="G670" s="432"/>
      <c r="H670" s="432"/>
      <c r="I670" s="432"/>
    </row>
    <row r="671" spans="1:9" x14ac:dyDescent="0.3">
      <c r="A671" t="str">
        <f>IF('F2 - Données facturation'!$G$32=0,"Hide","")</f>
        <v>Hide</v>
      </c>
      <c r="B671" s="432"/>
      <c r="C671" s="432"/>
      <c r="D671" s="432"/>
      <c r="E671" s="432"/>
      <c r="F671" s="432"/>
      <c r="G671" s="432"/>
      <c r="H671" s="432"/>
      <c r="I671" s="432"/>
    </row>
    <row r="672" spans="1:9" x14ac:dyDescent="0.3">
      <c r="A672" t="str">
        <f>IF('F2 - Données facturation'!$G$32=0,"Hide","")</f>
        <v>Hide</v>
      </c>
      <c r="B672" s="432"/>
      <c r="C672" s="1013" t="s">
        <v>567</v>
      </c>
      <c r="D672" s="1013"/>
      <c r="E672" s="1013"/>
      <c r="F672" s="1013"/>
      <c r="G672" s="1013"/>
      <c r="H672" s="1013"/>
      <c r="I672" s="432"/>
    </row>
    <row r="673" spans="1:9" x14ac:dyDescent="0.3">
      <c r="A673" t="str">
        <f>IF('F2 - Données facturation'!$G$32=0,"Hide","")</f>
        <v>Hide</v>
      </c>
      <c r="B673" s="432"/>
      <c r="C673" s="432"/>
      <c r="D673" s="432"/>
      <c r="E673" s="432"/>
      <c r="F673" s="432"/>
      <c r="G673" s="432"/>
      <c r="H673" s="432"/>
      <c r="I673" s="432"/>
    </row>
    <row r="674" spans="1:9" x14ac:dyDescent="0.3">
      <c r="A674" t="str">
        <f>IF('F2 - Données facturation'!$G$32=0,"Hide","")</f>
        <v>Hide</v>
      </c>
      <c r="B674" s="432"/>
      <c r="C674" s="433">
        <f>E661+E666</f>
        <v>0</v>
      </c>
      <c r="D674" s="432" t="s">
        <v>533</v>
      </c>
      <c r="E674" s="432"/>
      <c r="F674" s="432"/>
      <c r="G674" s="432"/>
      <c r="H674" s="432"/>
      <c r="I674" s="432"/>
    </row>
    <row r="675" spans="1:9" x14ac:dyDescent="0.3">
      <c r="A675" t="str">
        <f>IF('F2 - Données facturation'!$G$32=0,"Hide","")</f>
        <v>Hide</v>
      </c>
      <c r="B675" s="432"/>
      <c r="C675" s="432"/>
      <c r="D675" s="432"/>
      <c r="E675" s="432"/>
      <c r="F675" s="432"/>
      <c r="G675" s="432"/>
      <c r="H675" s="432"/>
      <c r="I675" s="432"/>
    </row>
    <row r="676" spans="1:9" x14ac:dyDescent="0.3">
      <c r="A676" t="str">
        <f>IF('F2 - Données facturation'!$G$32=0,"Hide","")</f>
        <v>Hide</v>
      </c>
      <c r="B676" s="432"/>
      <c r="C676" s="1015" t="s">
        <v>566</v>
      </c>
      <c r="D676" s="1015"/>
      <c r="E676" s="1015"/>
      <c r="F676" s="1015"/>
      <c r="G676" s="1015"/>
      <c r="H676" s="1015"/>
      <c r="I676" s="432"/>
    </row>
    <row r="677" spans="1:9" x14ac:dyDescent="0.3">
      <c r="A677" t="str">
        <f>IF('F2 - Données facturation'!$G$32=0,"Hide","")</f>
        <v>Hide</v>
      </c>
      <c r="B677" s="432"/>
      <c r="C677" s="432"/>
      <c r="D677" s="432"/>
      <c r="E677" s="432"/>
      <c r="F677" s="432"/>
      <c r="G677" s="432"/>
      <c r="H677" s="432"/>
      <c r="I677" s="432"/>
    </row>
    <row r="678" spans="1:9" x14ac:dyDescent="0.3">
      <c r="A678" t="str">
        <f>IF('F2 - Données facturation'!$G$32=0,"Hide","")</f>
        <v>Hide</v>
      </c>
      <c r="B678" s="432"/>
      <c r="C678" s="433">
        <f>E661+E670</f>
        <v>0</v>
      </c>
      <c r="D678" s="432" t="s">
        <v>533</v>
      </c>
      <c r="E678" s="432"/>
      <c r="F678" s="432"/>
      <c r="G678" s="432"/>
      <c r="H678" s="432"/>
      <c r="I678" s="432"/>
    </row>
    <row r="679" spans="1:9" x14ac:dyDescent="0.3">
      <c r="A679" t="str">
        <f>IF('F2 - Données facturation'!$G$32=0,"Hide","")</f>
        <v>Hide</v>
      </c>
      <c r="B679" s="432"/>
      <c r="C679" s="432"/>
      <c r="D679" s="432"/>
      <c r="E679" s="432"/>
      <c r="F679" s="432"/>
      <c r="G679" s="432"/>
      <c r="H679" s="432"/>
      <c r="I679" s="432"/>
    </row>
    <row r="680" spans="1:9" x14ac:dyDescent="0.3">
      <c r="A680" t="str">
        <f>IF('F2 - Données facturation'!$G$32=0,"Hide","")</f>
        <v>Hide</v>
      </c>
      <c r="B680" s="432"/>
      <c r="C680" s="1016" t="s">
        <v>565</v>
      </c>
      <c r="D680" s="1016"/>
      <c r="E680" s="1016"/>
      <c r="F680" s="1016"/>
      <c r="G680" s="1016"/>
      <c r="H680" s="1016"/>
      <c r="I680" s="432"/>
    </row>
    <row r="681" spans="1:9" x14ac:dyDescent="0.3">
      <c r="A681" t="str">
        <f>IF('F2 - Données facturation'!$G$32=0,"Hide","")</f>
        <v>Hide</v>
      </c>
      <c r="B681" s="432"/>
      <c r="C681" s="432"/>
      <c r="D681" s="432"/>
      <c r="E681" s="432"/>
      <c r="F681" s="432"/>
      <c r="G681" s="432"/>
      <c r="H681" s="432"/>
      <c r="I681" s="432"/>
    </row>
    <row r="682" spans="1:9" x14ac:dyDescent="0.3">
      <c r="A682" t="str">
        <f>IF('F2 - Données facturation'!$G$32=0,"Hide","")</f>
        <v>Hide</v>
      </c>
      <c r="B682" s="432"/>
      <c r="C682" s="433">
        <f>C674</f>
        <v>0</v>
      </c>
      <c r="D682" s="438" t="s">
        <v>533</v>
      </c>
      <c r="E682" s="432"/>
      <c r="F682" s="432"/>
      <c r="G682" s="432"/>
      <c r="H682" s="432"/>
      <c r="I682" s="432"/>
    </row>
    <row r="683" spans="1:9" x14ac:dyDescent="0.3">
      <c r="A683" t="str">
        <f>IF('F2 - Données facturation'!$G$32=0,"Hide","")</f>
        <v>Hide</v>
      </c>
      <c r="B683" s="432"/>
      <c r="C683" s="432"/>
      <c r="D683" s="432"/>
      <c r="E683" s="432"/>
      <c r="F683" s="432"/>
      <c r="G683" s="432"/>
      <c r="H683" s="432"/>
      <c r="I683" s="432"/>
    </row>
    <row r="684" spans="1:9" x14ac:dyDescent="0.3">
      <c r="A684" t="str">
        <f>IF('F2 - Données facturation'!$G$32=0,"Hide","")</f>
        <v>Hide</v>
      </c>
      <c r="B684" s="432"/>
      <c r="C684" s="432"/>
      <c r="D684" s="432"/>
      <c r="E684" s="432"/>
      <c r="F684" s="432"/>
      <c r="G684" s="432"/>
      <c r="H684" s="432"/>
      <c r="I684" s="432"/>
    </row>
    <row r="685" spans="1:9" x14ac:dyDescent="0.3">
      <c r="A685" t="str">
        <f>IF('F2 - Données facturation'!$G$32=0,"Hide","")</f>
        <v>Hide</v>
      </c>
      <c r="B685" s="432"/>
      <c r="C685" s="1017" t="s">
        <v>532</v>
      </c>
      <c r="D685" s="1017"/>
      <c r="E685" s="1017"/>
      <c r="F685" s="1017"/>
      <c r="G685" s="1017"/>
      <c r="H685" s="1017"/>
      <c r="I685" s="432"/>
    </row>
    <row r="686" spans="1:9" x14ac:dyDescent="0.3">
      <c r="A686" t="str">
        <f>IF('F2 - Données facturation'!$G$32=0,"Hide","")</f>
        <v>Hide</v>
      </c>
      <c r="B686" s="432"/>
      <c r="C686" s="432"/>
      <c r="D686" s="432"/>
      <c r="E686" s="432"/>
      <c r="F686" s="432"/>
      <c r="G686" s="432"/>
      <c r="H686" s="432"/>
      <c r="I686" s="432"/>
    </row>
    <row r="687" spans="1:9" x14ac:dyDescent="0.3">
      <c r="A687" t="str">
        <f>IF('F2 - Données facturation'!$G$32=0,"Hide","")</f>
        <v>Hide</v>
      </c>
      <c r="B687" s="432"/>
      <c r="C687" s="436" t="s">
        <v>531</v>
      </c>
      <c r="D687" s="432"/>
      <c r="E687" s="432"/>
      <c r="F687" s="432"/>
      <c r="G687" s="432"/>
      <c r="H687" s="432"/>
      <c r="I687" s="432"/>
    </row>
    <row r="688" spans="1:9" x14ac:dyDescent="0.3">
      <c r="A688" t="str">
        <f>IF('F2 - Données facturation'!$G$32=0,"Hide","")</f>
        <v>Hide</v>
      </c>
      <c r="B688" s="432"/>
      <c r="C688" s="432" t="s">
        <v>530</v>
      </c>
      <c r="D688" s="432"/>
      <c r="E688" s="433">
        <f>0.2*C682</f>
        <v>0</v>
      </c>
      <c r="F688" s="432" t="s">
        <v>529</v>
      </c>
      <c r="G688" s="432"/>
      <c r="H688" s="432"/>
      <c r="I688" s="432"/>
    </row>
    <row r="689" spans="1:9" x14ac:dyDescent="0.3">
      <c r="A689" t="str">
        <f>IF('F2 - Données facturation'!$G$32=0,"Hide","")</f>
        <v>Hide</v>
      </c>
      <c r="B689" s="432"/>
      <c r="C689" s="432" t="s">
        <v>528</v>
      </c>
      <c r="D689" s="432"/>
      <c r="E689" s="435">
        <f>E688*40</f>
        <v>0</v>
      </c>
      <c r="F689" s="432" t="s">
        <v>527</v>
      </c>
      <c r="G689" s="432"/>
      <c r="H689" s="432"/>
      <c r="I689" s="432"/>
    </row>
    <row r="690" spans="1:9" x14ac:dyDescent="0.3">
      <c r="A690" t="str">
        <f>IF('F2 - Données facturation'!$G$32=0,"Hide","")</f>
        <v>Hide</v>
      </c>
      <c r="B690" s="432"/>
      <c r="C690" s="432"/>
      <c r="D690" s="432"/>
      <c r="E690" s="432"/>
      <c r="F690" s="432"/>
      <c r="G690" s="432"/>
      <c r="H690" s="432"/>
      <c r="I690" s="432"/>
    </row>
    <row r="691" spans="1:9" x14ac:dyDescent="0.3">
      <c r="A691" t="str">
        <f>IF('F2 - Données facturation'!$G$32=0,"Hide","")</f>
        <v>Hide</v>
      </c>
      <c r="B691" s="432"/>
      <c r="C691" s="432" t="s">
        <v>526</v>
      </c>
      <c r="D691" s="432"/>
      <c r="E691" s="432"/>
      <c r="F691" s="432"/>
      <c r="G691" s="432"/>
      <c r="H691" s="432"/>
      <c r="I691" s="432"/>
    </row>
    <row r="692" spans="1:9" x14ac:dyDescent="0.3">
      <c r="A692" t="str">
        <f>IF('F2 - Données facturation'!$G$32=0,"Hide","")</f>
        <v>Hide</v>
      </c>
      <c r="B692" s="432"/>
      <c r="C692" s="1009" t="s">
        <v>560</v>
      </c>
      <c r="D692" s="1009"/>
      <c r="E692" s="1009"/>
      <c r="F692" s="1009"/>
      <c r="G692" s="1009"/>
      <c r="H692" s="1009"/>
      <c r="I692" s="432"/>
    </row>
    <row r="693" spans="1:9" x14ac:dyDescent="0.3">
      <c r="A693" t="str">
        <f>IF('F2 - Données facturation'!$G$32=0,"Hide","")</f>
        <v>Hide</v>
      </c>
      <c r="B693" s="432"/>
      <c r="C693" s="432"/>
      <c r="D693" s="432"/>
      <c r="E693" s="432"/>
      <c r="F693" s="432"/>
      <c r="G693" s="432"/>
      <c r="H693" s="432"/>
      <c r="I693" s="432"/>
    </row>
    <row r="694" spans="1:9" x14ac:dyDescent="0.3">
      <c r="A694" t="str">
        <f>IF('F2 - Données facturation'!$G$32=0,"Hide","")</f>
        <v>Hide</v>
      </c>
      <c r="B694" s="432"/>
      <c r="C694" s="435" t="s">
        <v>559</v>
      </c>
      <c r="D694" s="432"/>
      <c r="E694" s="432"/>
      <c r="F694" s="432"/>
      <c r="G694" s="432"/>
      <c r="H694" s="432"/>
      <c r="I694" s="432"/>
    </row>
    <row r="695" spans="1:9" x14ac:dyDescent="0.3">
      <c r="A695" t="str">
        <f>IF('F2 - Données facturation'!$G$32=0,"Hide","")</f>
        <v>Hide</v>
      </c>
      <c r="B695" s="432"/>
      <c r="C695" s="433">
        <f>C682-E688</f>
        <v>0</v>
      </c>
      <c r="D695" s="432" t="s">
        <v>523</v>
      </c>
      <c r="E695" s="432"/>
      <c r="F695" s="432"/>
      <c r="G695" s="432"/>
      <c r="H695" s="432"/>
      <c r="I695" s="432"/>
    </row>
    <row r="696" spans="1:9" x14ac:dyDescent="0.3">
      <c r="A696" t="str">
        <f>IF('F2 - Données facturation'!$G$32=0,"Hide","")</f>
        <v>Hide</v>
      </c>
      <c r="B696" s="432"/>
      <c r="C696" s="432"/>
      <c r="D696" s="432"/>
      <c r="E696" s="432"/>
      <c r="F696" s="432"/>
      <c r="G696" s="432"/>
      <c r="H696" s="432"/>
      <c r="I696" s="432"/>
    </row>
    <row r="697" spans="1:9" x14ac:dyDescent="0.3">
      <c r="A697" t="str">
        <f>IF('F2 - Données facturation'!$G$32=0,"Hide","")</f>
        <v>Hide</v>
      </c>
      <c r="B697" s="432"/>
      <c r="C697" s="432"/>
      <c r="D697" s="432"/>
      <c r="E697" s="432"/>
      <c r="F697" s="432"/>
      <c r="G697" s="432"/>
      <c r="H697" s="432"/>
      <c r="I697" s="432"/>
    </row>
    <row r="698" spans="1:9" x14ac:dyDescent="0.3">
      <c r="A698" t="str">
        <f>IF('F2 - Données facturation'!$G$32=0,"Hide","")</f>
        <v>Hide</v>
      </c>
      <c r="B698" s="432"/>
      <c r="C698" s="432"/>
      <c r="D698" s="432"/>
      <c r="E698" s="432"/>
      <c r="F698" s="432"/>
      <c r="G698" s="432"/>
      <c r="H698" s="432"/>
      <c r="I698" s="432"/>
    </row>
    <row r="699" spans="1:9" x14ac:dyDescent="0.3">
      <c r="A699" t="str">
        <f>IF('F2 - Données facturation'!$G$32=0,"Hide","")</f>
        <v>Hide</v>
      </c>
      <c r="B699" s="432"/>
      <c r="C699" s="432"/>
      <c r="D699" s="432"/>
      <c r="E699" s="432"/>
      <c r="F699" s="432"/>
      <c r="G699" s="432"/>
      <c r="H699" s="432"/>
      <c r="I699" s="432"/>
    </row>
    <row r="700" spans="1:9" x14ac:dyDescent="0.3">
      <c r="A700" t="str">
        <f>IF('F2 - Données facturation'!$G$32=0,"Hide","")</f>
        <v>Hide</v>
      </c>
      <c r="B700" s="432"/>
      <c r="C700" s="432"/>
      <c r="D700" s="432"/>
      <c r="E700" s="432"/>
      <c r="F700" s="432"/>
      <c r="G700" s="432"/>
      <c r="H700" s="432"/>
      <c r="I700" s="432"/>
    </row>
    <row r="701" spans="1:9" x14ac:dyDescent="0.3">
      <c r="A701" t="str">
        <f>IF('F2 - Données facturation'!$G$32=0,"Hide","")</f>
        <v>Hide</v>
      </c>
      <c r="B701" s="432"/>
      <c r="C701" s="432"/>
      <c r="D701" s="432"/>
      <c r="E701" s="432"/>
      <c r="F701" s="432"/>
      <c r="G701" s="432"/>
      <c r="H701" s="432"/>
      <c r="I701" s="432"/>
    </row>
    <row r="702" spans="1:9" x14ac:dyDescent="0.3">
      <c r="A702" t="str">
        <f>IF('F2 - Données facturation'!$G$32=0,"Hide","")</f>
        <v>Hide</v>
      </c>
      <c r="B702" s="432"/>
      <c r="C702" s="432"/>
      <c r="D702" s="432"/>
      <c r="E702" s="432"/>
      <c r="F702" s="432"/>
      <c r="G702" s="432"/>
      <c r="H702" s="432"/>
      <c r="I702" s="432"/>
    </row>
    <row r="703" spans="1:9" x14ac:dyDescent="0.3">
      <c r="A703" t="str">
        <f>IF('F2 - Données facturation'!$G$32=0,"Hide","")</f>
        <v>Hide</v>
      </c>
      <c r="B703" s="432"/>
      <c r="C703" s="432"/>
      <c r="D703" s="432"/>
      <c r="E703" s="432"/>
      <c r="F703" s="432"/>
      <c r="G703" s="432"/>
      <c r="H703" s="432"/>
      <c r="I703" s="432"/>
    </row>
    <row r="704" spans="1:9" x14ac:dyDescent="0.3">
      <c r="A704" t="str">
        <f>IF('F2 - Données facturation'!$G$32=0,"Hide","")</f>
        <v>Hide</v>
      </c>
      <c r="B704" s="432"/>
      <c r="C704" s="432"/>
      <c r="D704" s="432"/>
      <c r="E704" s="432"/>
      <c r="F704" s="432"/>
      <c r="G704" s="432"/>
      <c r="H704" s="432"/>
      <c r="I704" s="432"/>
    </row>
    <row r="705" spans="1:9" x14ac:dyDescent="0.3">
      <c r="A705" t="str">
        <f>IF('F2 - Données facturation'!$G$32=0,"Hide","")</f>
        <v>Hide</v>
      </c>
      <c r="B705" s="432"/>
      <c r="C705" s="432"/>
      <c r="D705" s="432"/>
      <c r="E705" s="432"/>
      <c r="F705" s="432"/>
      <c r="G705" s="432"/>
      <c r="H705" s="432"/>
      <c r="I705" s="432"/>
    </row>
    <row r="706" spans="1:9" x14ac:dyDescent="0.3">
      <c r="A706" t="str">
        <f>IF('F2 - Données facturation'!$G$32=0,"Hide","")</f>
        <v>Hide</v>
      </c>
      <c r="B706" s="432"/>
      <c r="C706" s="432" t="s">
        <v>522</v>
      </c>
      <c r="D706" s="433">
        <f>C695</f>
        <v>0</v>
      </c>
      <c r="E706" s="432" t="s">
        <v>519</v>
      </c>
      <c r="F706" s="432"/>
      <c r="G706" s="432"/>
      <c r="H706" s="432"/>
      <c r="I706" s="432"/>
    </row>
    <row r="707" spans="1:9" x14ac:dyDescent="0.3">
      <c r="A707" t="str">
        <f>IF('F2 - Données facturation'!$G$32=0,"Hide","")</f>
        <v>Hide</v>
      </c>
      <c r="B707" s="432"/>
      <c r="C707" s="433">
        <f>D706*0.2</f>
        <v>0</v>
      </c>
      <c r="D707" s="432" t="s">
        <v>521</v>
      </c>
      <c r="E707" s="432"/>
      <c r="F707" s="432"/>
      <c r="G707" s="432"/>
      <c r="H707" s="432"/>
      <c r="I707" s="432"/>
    </row>
    <row r="708" spans="1:9" x14ac:dyDescent="0.3">
      <c r="A708" t="str">
        <f>IF('F2 - Données facturation'!$G$32=0,"Hide","")</f>
        <v>Hide</v>
      </c>
      <c r="B708" s="432"/>
      <c r="C708" s="432"/>
      <c r="D708" s="432"/>
      <c r="E708" s="432"/>
      <c r="F708" s="432"/>
      <c r="G708" s="432"/>
      <c r="H708" s="432"/>
      <c r="I708" s="432"/>
    </row>
    <row r="709" spans="1:9" x14ac:dyDescent="0.3">
      <c r="A709" t="str">
        <f>IF('F2 - Données facturation'!$G$32=0,"Hide","")</f>
        <v>Hide</v>
      </c>
      <c r="B709" s="432"/>
      <c r="C709" s="432"/>
      <c r="D709" s="432"/>
      <c r="E709" s="432"/>
      <c r="F709" s="432"/>
      <c r="G709" s="432"/>
      <c r="H709" s="432"/>
      <c r="I709" s="432"/>
    </row>
    <row r="710" spans="1:9" x14ac:dyDescent="0.3">
      <c r="A710" t="str">
        <f>IF('F2 - Données facturation'!$G$32=0,"Hide","")</f>
        <v>Hide</v>
      </c>
      <c r="B710" s="432"/>
      <c r="C710" s="432"/>
      <c r="D710" s="432"/>
      <c r="E710" s="432"/>
      <c r="F710" s="432"/>
      <c r="G710" s="432"/>
      <c r="H710" s="432"/>
      <c r="I710" s="432"/>
    </row>
    <row r="711" spans="1:9" x14ac:dyDescent="0.3">
      <c r="A711" t="str">
        <f>IF('F2 - Données facturation'!$G$32=0,"Hide","")</f>
        <v>Hide</v>
      </c>
      <c r="B711" s="432"/>
      <c r="C711" s="432"/>
      <c r="D711" s="432"/>
      <c r="E711" s="432"/>
      <c r="F711" s="432"/>
      <c r="G711" s="432"/>
      <c r="H711" s="432"/>
      <c r="I711" s="432"/>
    </row>
    <row r="712" spans="1:9" x14ac:dyDescent="0.3">
      <c r="A712" t="str">
        <f>IF('F2 - Données facturation'!$G$32=0,"Hide","")</f>
        <v>Hide</v>
      </c>
      <c r="B712" s="432"/>
      <c r="C712" s="432"/>
      <c r="D712" s="432"/>
      <c r="E712" s="432"/>
      <c r="F712" s="432"/>
      <c r="G712" s="432"/>
      <c r="H712" s="432"/>
      <c r="I712" s="432"/>
    </row>
    <row r="713" spans="1:9" x14ac:dyDescent="0.3">
      <c r="A713" t="str">
        <f>IF('F2 - Données facturation'!$G$32=0,"Hide","")</f>
        <v>Hide</v>
      </c>
      <c r="B713" s="432"/>
      <c r="C713" s="434" t="s">
        <v>558</v>
      </c>
      <c r="D713" s="433">
        <f>C695</f>
        <v>0</v>
      </c>
      <c r="E713" s="432" t="s">
        <v>519</v>
      </c>
      <c r="F713" s="432"/>
      <c r="G713" s="432"/>
      <c r="H713" s="432"/>
      <c r="I713" s="432"/>
    </row>
    <row r="714" spans="1:9" x14ac:dyDescent="0.3">
      <c r="A714" t="str">
        <f>IF('F2 - Données facturation'!$G$32=0,"Hide","")</f>
        <v>Hide</v>
      </c>
      <c r="B714" s="432"/>
      <c r="C714" s="433">
        <f>D713*0.3</f>
        <v>0</v>
      </c>
      <c r="D714" s="432" t="s">
        <v>518</v>
      </c>
      <c r="E714" s="432"/>
      <c r="F714" s="432"/>
      <c r="G714" s="432"/>
      <c r="H714" s="432"/>
      <c r="I714" s="432"/>
    </row>
    <row r="715" spans="1:9" x14ac:dyDescent="0.3">
      <c r="A715" t="str">
        <f>IF('F2 - Données facturation'!$G$32=0,"Hide","")</f>
        <v>Hide</v>
      </c>
      <c r="B715" s="432"/>
      <c r="C715" s="432"/>
      <c r="D715" s="432"/>
      <c r="E715" s="432"/>
      <c r="F715" s="432"/>
      <c r="G715" s="432"/>
      <c r="H715" s="432"/>
      <c r="I715" s="432"/>
    </row>
    <row r="716" spans="1:9" x14ac:dyDescent="0.3">
      <c r="A716" t="str">
        <f>IF('F2 - Données facturation'!$G$32=0,"Hide","")</f>
        <v>Hide</v>
      </c>
      <c r="B716" s="432"/>
      <c r="C716" s="432"/>
      <c r="D716" s="432"/>
      <c r="E716" s="432"/>
      <c r="F716" s="432"/>
      <c r="G716" s="432"/>
      <c r="H716" s="432"/>
      <c r="I716" s="432"/>
    </row>
    <row r="717" spans="1:9" x14ac:dyDescent="0.3">
      <c r="A717" t="str">
        <f>IF('F2 - Données facturation'!$G$32=0,"Hide","")</f>
        <v>Hide</v>
      </c>
      <c r="B717" s="432"/>
      <c r="C717" s="432"/>
      <c r="D717" s="432"/>
      <c r="E717" s="432"/>
      <c r="F717" s="432"/>
      <c r="G717" s="432"/>
      <c r="H717" s="432"/>
      <c r="I717" s="432"/>
    </row>
    <row r="718" spans="1:9" x14ac:dyDescent="0.3">
      <c r="A718" t="str">
        <f>IF('F2 - Données facturation'!$G$32=0,"Hide","")</f>
        <v>Hide</v>
      </c>
      <c r="B718" s="432"/>
      <c r="C718" s="1018" t="s">
        <v>517</v>
      </c>
      <c r="D718" s="1018"/>
      <c r="E718" s="1018"/>
      <c r="F718" s="433">
        <f>C695</f>
        <v>0</v>
      </c>
      <c r="G718" s="432" t="s">
        <v>56</v>
      </c>
      <c r="H718" s="432"/>
      <c r="I718" s="432"/>
    </row>
    <row r="719" spans="1:9" x14ac:dyDescent="0.3">
      <c r="A719" t="str">
        <f>IF('F2 - Données facturation'!$G$32=0,"Hide","")</f>
        <v>Hide</v>
      </c>
      <c r="C719" s="1002" t="s">
        <v>516</v>
      </c>
      <c r="D719" s="1002"/>
      <c r="E719" s="1002"/>
      <c r="F719" s="431">
        <f>C707</f>
        <v>0</v>
      </c>
      <c r="G719" t="s">
        <v>56</v>
      </c>
    </row>
    <row r="720" spans="1:9" x14ac:dyDescent="0.3">
      <c r="A720" t="str">
        <f>IF('F2 - Données facturation'!$G$32=0,"Hide","")</f>
        <v>Hide</v>
      </c>
      <c r="C720" s="1002" t="s">
        <v>515</v>
      </c>
      <c r="D720" s="1002"/>
      <c r="E720" s="1002"/>
      <c r="F720" s="431">
        <f>C714</f>
        <v>0</v>
      </c>
      <c r="G720" t="s">
        <v>56</v>
      </c>
    </row>
    <row r="721" spans="1:8" x14ac:dyDescent="0.3">
      <c r="A721" t="str">
        <f>IF('F2 - Données facturation'!$G$32=0,"Hide","")</f>
        <v>Hide</v>
      </c>
    </row>
    <row r="722" spans="1:8" ht="15.6" x14ac:dyDescent="0.3">
      <c r="A722" t="str">
        <f>IF('F2 - Données facturation'!$G$32=0,"Hide","")</f>
        <v>Hide</v>
      </c>
      <c r="C722" s="1003" t="s">
        <v>514</v>
      </c>
      <c r="D722" s="1002"/>
      <c r="E722" s="1002"/>
      <c r="F722" s="431">
        <f>F718-F719-F720</f>
        <v>0</v>
      </c>
      <c r="G722" t="s">
        <v>56</v>
      </c>
    </row>
    <row r="723" spans="1:8" x14ac:dyDescent="0.3">
      <c r="A723" t="str">
        <f>IF('F2 - Données facturation'!$G$32=0,"Hide","")</f>
        <v>Hide</v>
      </c>
    </row>
    <row r="724" spans="1:8" x14ac:dyDescent="0.3">
      <c r="A724" t="str">
        <f>IF('F2 - Données facturation'!$L$32=0,"Hide","")</f>
        <v>Hide</v>
      </c>
    </row>
    <row r="725" spans="1:8" x14ac:dyDescent="0.3">
      <c r="A725" t="str">
        <f>IF('F2 - Données facturation'!$L$32=0,"Hide","")</f>
        <v>Hide</v>
      </c>
    </row>
    <row r="726" spans="1:8" x14ac:dyDescent="0.3">
      <c r="A726" t="str">
        <f>IF('F2 - Données facturation'!$L$32=0,"Hide","")</f>
        <v>Hide</v>
      </c>
    </row>
    <row r="727" spans="1:8" x14ac:dyDescent="0.3">
      <c r="A727" t="str">
        <f>IF('F2 - Données facturation'!$L$32=0,"Hide","")</f>
        <v>Hide</v>
      </c>
    </row>
    <row r="728" spans="1:8" x14ac:dyDescent="0.3">
      <c r="A728" t="str">
        <f>IF('F2 - Données facturation'!$L$32=0,"Hide","")</f>
        <v>Hide</v>
      </c>
      <c r="C728" s="1012" t="s">
        <v>564</v>
      </c>
      <c r="D728" s="1012"/>
      <c r="E728" s="1012"/>
      <c r="F728" s="1012"/>
      <c r="G728" s="1012"/>
      <c r="H728" s="1012"/>
    </row>
    <row r="729" spans="1:8" x14ac:dyDescent="0.3">
      <c r="A729" t="str">
        <f>IF('F2 - Données facturation'!$L$32=0,"Hide","")</f>
        <v>Hide</v>
      </c>
    </row>
    <row r="730" spans="1:8" x14ac:dyDescent="0.3">
      <c r="A730" t="str">
        <f>IF('F2 - Données facturation'!$L$32=0,"Hide","")</f>
        <v>Hide</v>
      </c>
      <c r="C730" s="436" t="s">
        <v>563</v>
      </c>
    </row>
    <row r="731" spans="1:8" x14ac:dyDescent="0.3">
      <c r="A731" t="str">
        <f>IF('F2 - Données facturation'!$L$32=0,"Hide","")</f>
        <v>Hide</v>
      </c>
      <c r="C731" s="432"/>
    </row>
    <row r="732" spans="1:8" x14ac:dyDescent="0.3">
      <c r="A732" t="str">
        <f>IF('F2 - Données facturation'!$L$32=0,"Hide","")</f>
        <v>Hide</v>
      </c>
      <c r="C732" s="432" t="s">
        <v>562</v>
      </c>
      <c r="E732" s="431">
        <f>0.24*I579</f>
        <v>0</v>
      </c>
      <c r="F732" t="s">
        <v>533</v>
      </c>
    </row>
    <row r="733" spans="1:8" x14ac:dyDescent="0.3">
      <c r="A733" t="str">
        <f>IF('F2 - Données facturation'!$L$32=0,"Hide","")</f>
        <v>Hide</v>
      </c>
    </row>
    <row r="734" spans="1:8" x14ac:dyDescent="0.3">
      <c r="A734" t="str">
        <f>IF('F2 - Données facturation'!$L$32=0,"Hide","")</f>
        <v>Hide</v>
      </c>
    </row>
    <row r="735" spans="1:8" x14ac:dyDescent="0.3">
      <c r="A735" t="str">
        <f>IF('F2 - Données facturation'!$L$32=0,"Hide","")</f>
        <v>Hide</v>
      </c>
    </row>
    <row r="736" spans="1:8" x14ac:dyDescent="0.3">
      <c r="A736" t="str">
        <f>IF('F2 - Données facturation'!$L$32=0,"Hide","")</f>
        <v>Hide</v>
      </c>
      <c r="C736" s="1008" t="s">
        <v>561</v>
      </c>
      <c r="D736" s="1008"/>
      <c r="E736" s="1008"/>
      <c r="F736" s="1008"/>
      <c r="G736" s="1008"/>
      <c r="H736" s="1008"/>
    </row>
    <row r="737" spans="1:8" x14ac:dyDescent="0.3">
      <c r="A737" t="str">
        <f>IF('F2 - Données facturation'!$L$32=0,"Hide","")</f>
        <v>Hide</v>
      </c>
    </row>
    <row r="738" spans="1:8" x14ac:dyDescent="0.3">
      <c r="A738" t="str">
        <f>IF('F2 - Données facturation'!$L$32=0,"Hide","")</f>
        <v>Hide</v>
      </c>
      <c r="C738" s="431">
        <f>E732</f>
        <v>0</v>
      </c>
      <c r="D738" s="1" t="s">
        <v>533</v>
      </c>
    </row>
    <row r="739" spans="1:8" x14ac:dyDescent="0.3">
      <c r="A739" t="str">
        <f>IF('F2 - Données facturation'!$L$32=0,"Hide","")</f>
        <v>Hide</v>
      </c>
    </row>
    <row r="740" spans="1:8" x14ac:dyDescent="0.3">
      <c r="A740" t="str">
        <f>IF('F2 - Données facturation'!$L$32=0,"Hide","")</f>
        <v>Hide</v>
      </c>
    </row>
    <row r="741" spans="1:8" x14ac:dyDescent="0.3">
      <c r="A741" t="str">
        <f>IF('F2 - Données facturation'!$L$32=0,"Hide","")</f>
        <v>Hide</v>
      </c>
      <c r="C741" s="751" t="s">
        <v>532</v>
      </c>
      <c r="D741" s="751"/>
      <c r="E741" s="751"/>
      <c r="F741" s="751"/>
      <c r="G741" s="751"/>
      <c r="H741" s="751"/>
    </row>
    <row r="742" spans="1:8" x14ac:dyDescent="0.3">
      <c r="A742" t="str">
        <f>IF('F2 - Données facturation'!$L$32=0,"Hide","")</f>
        <v>Hide</v>
      </c>
    </row>
    <row r="743" spans="1:8" x14ac:dyDescent="0.3">
      <c r="A743" t="str">
        <f>IF('F2 - Données facturation'!$L$32=0,"Hide","")</f>
        <v>Hide</v>
      </c>
      <c r="C743" s="178" t="s">
        <v>531</v>
      </c>
    </row>
    <row r="744" spans="1:8" x14ac:dyDescent="0.3">
      <c r="A744" t="str">
        <f>IF('F2 - Données facturation'!$L$32=0,"Hide","")</f>
        <v>Hide</v>
      </c>
      <c r="C744" s="432" t="s">
        <v>530</v>
      </c>
      <c r="E744" s="431">
        <f>0.2*C738</f>
        <v>0</v>
      </c>
      <c r="F744" t="s">
        <v>529</v>
      </c>
    </row>
    <row r="745" spans="1:8" x14ac:dyDescent="0.3">
      <c r="A745" t="str">
        <f>IF('F2 - Données facturation'!$L$32=0,"Hide","")</f>
        <v>Hide</v>
      </c>
      <c r="C745" t="s">
        <v>528</v>
      </c>
      <c r="E745" s="304">
        <f>E744*40</f>
        <v>0</v>
      </c>
      <c r="F745" t="s">
        <v>527</v>
      </c>
    </row>
    <row r="746" spans="1:8" x14ac:dyDescent="0.3">
      <c r="A746" t="str">
        <f>IF('F2 - Données facturation'!$L$32=0,"Hide","")</f>
        <v>Hide</v>
      </c>
    </row>
    <row r="747" spans="1:8" x14ac:dyDescent="0.3">
      <c r="A747" t="str">
        <f>IF('F2 - Données facturation'!$L$32=0,"Hide","")</f>
        <v>Hide</v>
      </c>
    </row>
    <row r="748" spans="1:8" x14ac:dyDescent="0.3">
      <c r="A748" t="str">
        <f>IF('F2 - Données facturation'!$L$32=0,"Hide","")</f>
        <v>Hide</v>
      </c>
    </row>
    <row r="749" spans="1:8" x14ac:dyDescent="0.3">
      <c r="A749" t="str">
        <f>IF('F2 - Données facturation'!$L$32=0,"Hide","")</f>
        <v>Hide</v>
      </c>
      <c r="C749" t="s">
        <v>526</v>
      </c>
    </row>
    <row r="750" spans="1:8" x14ac:dyDescent="0.3">
      <c r="A750" t="str">
        <f>IF('F2 - Données facturation'!$L$32=0,"Hide","")</f>
        <v>Hide</v>
      </c>
      <c r="C750" s="996" t="s">
        <v>560</v>
      </c>
      <c r="D750" s="996"/>
      <c r="E750" s="996"/>
      <c r="F750" s="996"/>
      <c r="G750" s="996"/>
      <c r="H750" s="996"/>
    </row>
    <row r="751" spans="1:8" x14ac:dyDescent="0.3">
      <c r="A751" t="str">
        <f>IF('F2 - Données facturation'!$L$32=0,"Hide","")</f>
        <v>Hide</v>
      </c>
    </row>
    <row r="752" spans="1:8" x14ac:dyDescent="0.3">
      <c r="A752" t="str">
        <f>IF('F2 - Données facturation'!$L$32=0,"Hide","")</f>
        <v>Hide</v>
      </c>
      <c r="C752" s="435" t="s">
        <v>559</v>
      </c>
    </row>
    <row r="753" spans="1:5" x14ac:dyDescent="0.3">
      <c r="A753" t="str">
        <f>IF('F2 - Données facturation'!$L$32=0,"Hide","")</f>
        <v>Hide</v>
      </c>
      <c r="C753" s="431">
        <f>C738-E744</f>
        <v>0</v>
      </c>
      <c r="D753" t="s">
        <v>523</v>
      </c>
    </row>
    <row r="754" spans="1:5" x14ac:dyDescent="0.3">
      <c r="A754" t="str">
        <f>IF('F2 - Données facturation'!$L$32=0,"Hide","")</f>
        <v>Hide</v>
      </c>
    </row>
    <row r="755" spans="1:5" x14ac:dyDescent="0.3">
      <c r="A755" t="str">
        <f>IF('F2 - Données facturation'!$L$32=0,"Hide","")</f>
        <v>Hide</v>
      </c>
    </row>
    <row r="756" spans="1:5" x14ac:dyDescent="0.3">
      <c r="A756" t="str">
        <f>IF('F2 - Données facturation'!$L$32=0,"Hide","")</f>
        <v>Hide</v>
      </c>
    </row>
    <row r="757" spans="1:5" x14ac:dyDescent="0.3">
      <c r="A757" t="str">
        <f>IF('F2 - Données facturation'!$L$32=0,"Hide","")</f>
        <v>Hide</v>
      </c>
    </row>
    <row r="758" spans="1:5" x14ac:dyDescent="0.3">
      <c r="A758" t="str">
        <f>IF('F2 - Données facturation'!$L$32=0,"Hide","")</f>
        <v>Hide</v>
      </c>
    </row>
    <row r="759" spans="1:5" x14ac:dyDescent="0.3">
      <c r="A759" t="str">
        <f>IF('F2 - Données facturation'!$L$32=0,"Hide","")</f>
        <v>Hide</v>
      </c>
    </row>
    <row r="760" spans="1:5" x14ac:dyDescent="0.3">
      <c r="A760" t="str">
        <f>IF('F2 - Données facturation'!$L$32=0,"Hide","")</f>
        <v>Hide</v>
      </c>
    </row>
    <row r="761" spans="1:5" x14ac:dyDescent="0.3">
      <c r="A761" t="str">
        <f>IF('F2 - Données facturation'!$L$32=0,"Hide","")</f>
        <v>Hide</v>
      </c>
    </row>
    <row r="762" spans="1:5" x14ac:dyDescent="0.3">
      <c r="A762" t="str">
        <f>IF('F2 - Données facturation'!$L$32=0,"Hide","")</f>
        <v>Hide</v>
      </c>
    </row>
    <row r="763" spans="1:5" x14ac:dyDescent="0.3">
      <c r="A763" t="str">
        <f>IF('F2 - Données facturation'!$L$32=0,"Hide","")</f>
        <v>Hide</v>
      </c>
    </row>
    <row r="764" spans="1:5" x14ac:dyDescent="0.3">
      <c r="A764" t="str">
        <f>IF('F2 - Données facturation'!$L$32=0,"Hide","")</f>
        <v>Hide</v>
      </c>
      <c r="C764" s="432" t="s">
        <v>522</v>
      </c>
      <c r="D764" s="431">
        <f>C753</f>
        <v>0</v>
      </c>
      <c r="E764" s="432" t="s">
        <v>519</v>
      </c>
    </row>
    <row r="765" spans="1:5" x14ac:dyDescent="0.3">
      <c r="A765" t="str">
        <f>IF('F2 - Données facturation'!$L$32=0,"Hide","")</f>
        <v>Hide</v>
      </c>
      <c r="C765" s="431">
        <f>D764*0.2</f>
        <v>0</v>
      </c>
      <c r="D765" t="s">
        <v>521</v>
      </c>
    </row>
    <row r="766" spans="1:5" x14ac:dyDescent="0.3">
      <c r="A766" t="str">
        <f>IF('F2 - Données facturation'!$L$32=0,"Hide","")</f>
        <v>Hide</v>
      </c>
    </row>
    <row r="767" spans="1:5" x14ac:dyDescent="0.3">
      <c r="A767" t="str">
        <f>IF('F2 - Données facturation'!$L$32=0,"Hide","")</f>
        <v>Hide</v>
      </c>
    </row>
    <row r="768" spans="1:5" x14ac:dyDescent="0.3">
      <c r="A768" t="str">
        <f>IF('F2 - Données facturation'!$L$32=0,"Hide","")</f>
        <v>Hide</v>
      </c>
    </row>
    <row r="769" spans="1:7" x14ac:dyDescent="0.3">
      <c r="A769" t="str">
        <f>IF('F2 - Données facturation'!$L$32=0,"Hide","")</f>
        <v>Hide</v>
      </c>
    </row>
    <row r="770" spans="1:7" x14ac:dyDescent="0.3">
      <c r="A770" t="str">
        <f>IF('F2 - Données facturation'!$L$32=0,"Hide","")</f>
        <v>Hide</v>
      </c>
    </row>
    <row r="771" spans="1:7" x14ac:dyDescent="0.3">
      <c r="A771" t="str">
        <f>IF('F2 - Données facturation'!$L$32=0,"Hide","")</f>
        <v>Hide</v>
      </c>
    </row>
    <row r="772" spans="1:7" x14ac:dyDescent="0.3">
      <c r="A772" t="str">
        <f>IF('F2 - Données facturation'!$L$32=0,"Hide","")</f>
        <v>Hide</v>
      </c>
    </row>
    <row r="773" spans="1:7" x14ac:dyDescent="0.3">
      <c r="A773" t="str">
        <f>IF('F2 - Données facturation'!$L$32=0,"Hide","")</f>
        <v>Hide</v>
      </c>
      <c r="C773" s="434" t="s">
        <v>558</v>
      </c>
      <c r="D773" s="431">
        <f>C753</f>
        <v>0</v>
      </c>
      <c r="E773" s="432" t="s">
        <v>519</v>
      </c>
    </row>
    <row r="774" spans="1:7" x14ac:dyDescent="0.3">
      <c r="A774" t="str">
        <f>IF('F2 - Données facturation'!$L$32=0,"Hide","")</f>
        <v>Hide</v>
      </c>
      <c r="C774" s="431">
        <f>D773*0.3</f>
        <v>0</v>
      </c>
      <c r="D774" t="s">
        <v>518</v>
      </c>
    </row>
    <row r="775" spans="1:7" x14ac:dyDescent="0.3">
      <c r="A775" t="str">
        <f>IF('F2 - Données facturation'!$L$32=0,"Hide","")</f>
        <v>Hide</v>
      </c>
    </row>
    <row r="776" spans="1:7" x14ac:dyDescent="0.3">
      <c r="A776" t="str">
        <f>IF('F2 - Données facturation'!$L$32=0,"Hide","")</f>
        <v>Hide</v>
      </c>
    </row>
    <row r="777" spans="1:7" x14ac:dyDescent="0.3">
      <c r="A777" t="str">
        <f>IF('F2 - Données facturation'!$L$32=0,"Hide","")</f>
        <v>Hide</v>
      </c>
    </row>
    <row r="778" spans="1:7" x14ac:dyDescent="0.3">
      <c r="A778" t="str">
        <f>IF('F2 - Données facturation'!$L$32=0,"Hide","")</f>
        <v>Hide</v>
      </c>
      <c r="C778" s="1002" t="s">
        <v>517</v>
      </c>
      <c r="D778" s="1002"/>
      <c r="E778" s="1002"/>
      <c r="F778" s="431">
        <f>C753</f>
        <v>0</v>
      </c>
      <c r="G778" t="s">
        <v>56</v>
      </c>
    </row>
    <row r="779" spans="1:7" x14ac:dyDescent="0.3">
      <c r="A779" t="str">
        <f>IF('F2 - Données facturation'!$L$32=0,"Hide","")</f>
        <v>Hide</v>
      </c>
      <c r="C779" s="1002" t="s">
        <v>516</v>
      </c>
      <c r="D779" s="1002"/>
      <c r="E779" s="1002"/>
      <c r="F779" s="431">
        <f>C765</f>
        <v>0</v>
      </c>
      <c r="G779" t="s">
        <v>56</v>
      </c>
    </row>
    <row r="780" spans="1:7" x14ac:dyDescent="0.3">
      <c r="A780" t="str">
        <f>IF('F2 - Données facturation'!$L$32=0,"Hide","")</f>
        <v>Hide</v>
      </c>
      <c r="C780" s="1002" t="s">
        <v>515</v>
      </c>
      <c r="D780" s="1002"/>
      <c r="E780" s="1002"/>
      <c r="F780" s="431">
        <f>C774</f>
        <v>0</v>
      </c>
      <c r="G780" t="s">
        <v>56</v>
      </c>
    </row>
    <row r="781" spans="1:7" x14ac:dyDescent="0.3">
      <c r="A781" t="str">
        <f>IF('F2 - Données facturation'!$L$32=0,"Hide","")</f>
        <v>Hide</v>
      </c>
    </row>
    <row r="782" spans="1:7" ht="15.6" x14ac:dyDescent="0.3">
      <c r="A782" t="str">
        <f>IF('F2 - Données facturation'!$L$32=0,"Hide","")</f>
        <v>Hide</v>
      </c>
      <c r="C782" s="1003" t="s">
        <v>514</v>
      </c>
      <c r="D782" s="1002"/>
      <c r="E782" s="1002"/>
      <c r="F782" s="431">
        <f>F778-F779-F780</f>
        <v>0</v>
      </c>
      <c r="G782" t="s">
        <v>56</v>
      </c>
    </row>
    <row r="783" spans="1:7" x14ac:dyDescent="0.3">
      <c r="A783" t="str">
        <f>IF('F2 - Données facturation'!$H$32=0,"Hide","")</f>
        <v>Hide</v>
      </c>
    </row>
    <row r="784" spans="1:7" x14ac:dyDescent="0.3">
      <c r="A784" t="str">
        <f>IF('F2 - Données facturation'!$H$32=0,"Hide","")</f>
        <v>Hide</v>
      </c>
    </row>
    <row r="785" spans="1:9" x14ac:dyDescent="0.3">
      <c r="A785" t="str">
        <f>IF('F2 - Données facturation'!$H$32=0,"Hide","")</f>
        <v>Hide</v>
      </c>
    </row>
    <row r="786" spans="1:9" x14ac:dyDescent="0.3">
      <c r="A786" t="str">
        <f>IF('F2 - Données facturation'!$H$32=0,"Hide","")</f>
        <v>Hide</v>
      </c>
    </row>
    <row r="787" spans="1:9" x14ac:dyDescent="0.3">
      <c r="A787" t="str">
        <f>IF('F2 - Données facturation'!$H$32=0,"Hide","")</f>
        <v>Hide</v>
      </c>
    </row>
    <row r="788" spans="1:9" x14ac:dyDescent="0.3">
      <c r="A788" t="str">
        <f>IF('F2 - Données facturation'!$H$32=0,"Hide","")</f>
        <v>Hide</v>
      </c>
      <c r="C788" s="1014" t="s">
        <v>557</v>
      </c>
      <c r="D788" s="1014"/>
      <c r="E788" s="1014"/>
      <c r="F788" s="1014"/>
      <c r="G788" s="1014"/>
      <c r="H788" s="1014"/>
      <c r="I788" s="1014"/>
    </row>
    <row r="789" spans="1:9" x14ac:dyDescent="0.3">
      <c r="A789" t="str">
        <f>IF('F2 - Données facturation'!$H$32=0,"Hide","")</f>
        <v>Hide</v>
      </c>
    </row>
    <row r="790" spans="1:9" x14ac:dyDescent="0.3">
      <c r="A790" t="str">
        <f>IF('F2 - Données facturation'!$H$32=0,"Hide","")</f>
        <v>Hide</v>
      </c>
      <c r="C790" s="436" t="s">
        <v>543</v>
      </c>
      <c r="D790" s="432"/>
      <c r="E790" s="432"/>
      <c r="F790" s="432"/>
      <c r="G790" s="432"/>
      <c r="H790" s="432"/>
    </row>
    <row r="791" spans="1:9" x14ac:dyDescent="0.3">
      <c r="A791" t="str">
        <f>IF('F2 - Données facturation'!$H$32=0,"Hide","")</f>
        <v>Hide</v>
      </c>
      <c r="C791" s="432"/>
      <c r="D791" s="432"/>
      <c r="E791" s="432"/>
      <c r="F791" s="432"/>
      <c r="G791" s="432"/>
      <c r="H791" s="432"/>
    </row>
    <row r="792" spans="1:9" x14ac:dyDescent="0.3">
      <c r="A792" t="str">
        <f>IF('F2 - Données facturation'!$H$32=0,"Hide","")</f>
        <v>Hide</v>
      </c>
      <c r="C792" s="432" t="s">
        <v>542</v>
      </c>
      <c r="D792" s="432"/>
      <c r="E792" s="433">
        <f>0.9*G579</f>
        <v>0</v>
      </c>
      <c r="F792" s="432" t="s">
        <v>533</v>
      </c>
      <c r="G792" s="432"/>
      <c r="H792" s="432"/>
    </row>
    <row r="793" spans="1:9" x14ac:dyDescent="0.3">
      <c r="A793" t="str">
        <f>IF('F2 - Données facturation'!$H$32=0,"Hide","")</f>
        <v>Hide</v>
      </c>
      <c r="C793" s="432"/>
      <c r="D793" s="432"/>
      <c r="E793" s="432"/>
      <c r="F793" s="432"/>
      <c r="G793" s="432"/>
      <c r="H793" s="432"/>
    </row>
    <row r="794" spans="1:9" x14ac:dyDescent="0.3">
      <c r="A794" t="str">
        <f>IF('F2 - Données facturation'!$H$32=0,"Hide","")</f>
        <v>Hide</v>
      </c>
      <c r="C794" s="436" t="s">
        <v>541</v>
      </c>
      <c r="D794" s="432"/>
      <c r="E794" s="432"/>
      <c r="F794" s="432"/>
      <c r="G794" s="432"/>
      <c r="H794" s="432"/>
    </row>
    <row r="795" spans="1:9" x14ac:dyDescent="0.3">
      <c r="A795" t="str">
        <f>IF('F2 - Données facturation'!$H$32=0,"Hide","")</f>
        <v>Hide</v>
      </c>
      <c r="C795" s="432" t="s">
        <v>540</v>
      </c>
      <c r="D795" s="432"/>
      <c r="E795" s="432"/>
      <c r="F795" s="432"/>
      <c r="G795" s="432"/>
      <c r="H795" s="432"/>
    </row>
    <row r="796" spans="1:9" x14ac:dyDescent="0.3">
      <c r="A796" t="str">
        <f>IF('F2 - Données facturation'!$H$32=0,"Hide","")</f>
        <v>Hide</v>
      </c>
      <c r="C796" s="432"/>
      <c r="D796" s="432"/>
      <c r="E796" s="432"/>
      <c r="F796" s="432"/>
      <c r="G796" s="432"/>
      <c r="H796" s="432"/>
    </row>
    <row r="797" spans="1:9" x14ac:dyDescent="0.3">
      <c r="A797" t="str">
        <f>IF('F2 - Données facturation'!$H$32=0,"Hide","")</f>
        <v>Hide</v>
      </c>
      <c r="C797" s="1011" t="s">
        <v>539</v>
      </c>
      <c r="D797" s="1011"/>
      <c r="E797" s="433">
        <f>0.11*G579</f>
        <v>0</v>
      </c>
      <c r="F797" s="432" t="s">
        <v>533</v>
      </c>
      <c r="G797" s="432"/>
      <c r="H797" s="432"/>
    </row>
    <row r="798" spans="1:9" x14ac:dyDescent="0.3">
      <c r="A798" t="str">
        <f>IF('F2 - Données facturation'!$H$32=0,"Hide","")</f>
        <v>Hide</v>
      </c>
      <c r="C798" s="432"/>
      <c r="D798" s="432"/>
      <c r="E798" s="432"/>
      <c r="F798" s="432"/>
      <c r="G798" s="432"/>
      <c r="H798" s="432"/>
    </row>
    <row r="799" spans="1:9" x14ac:dyDescent="0.3">
      <c r="A799" t="str">
        <f>IF('F2 - Données facturation'!$H$32=0,"Hide","")</f>
        <v>Hide</v>
      </c>
      <c r="C799" s="432" t="s">
        <v>538</v>
      </c>
      <c r="D799" s="432"/>
      <c r="E799" s="432"/>
      <c r="F799" s="432"/>
      <c r="G799" s="432"/>
      <c r="H799" s="432"/>
    </row>
    <row r="800" spans="1:9" x14ac:dyDescent="0.3">
      <c r="A800" t="str">
        <f>IF('F2 - Données facturation'!$H$32=0,"Hide","")</f>
        <v>Hide</v>
      </c>
      <c r="C800" s="432"/>
      <c r="D800" s="432"/>
      <c r="E800" s="432"/>
      <c r="F800" s="432"/>
      <c r="G800" s="432"/>
      <c r="H800" s="432"/>
    </row>
    <row r="801" spans="1:8" x14ac:dyDescent="0.3">
      <c r="A801" t="str">
        <f>IF('F2 - Données facturation'!$H$32=0,"Hide","")</f>
        <v>Hide</v>
      </c>
      <c r="C801" s="1011" t="s">
        <v>537</v>
      </c>
      <c r="D801" s="1011"/>
      <c r="E801" s="433">
        <f xml:space="preserve"> 0.22*G579</f>
        <v>0</v>
      </c>
      <c r="F801" s="432" t="s">
        <v>533</v>
      </c>
      <c r="G801" s="432"/>
      <c r="H801" s="432"/>
    </row>
    <row r="802" spans="1:8" x14ac:dyDescent="0.3">
      <c r="A802" t="str">
        <f>IF('F2 - Données facturation'!$H$32=0,"Hide","")</f>
        <v>Hide</v>
      </c>
      <c r="C802" s="432"/>
      <c r="D802" s="432"/>
      <c r="E802" s="432"/>
      <c r="F802" s="432"/>
      <c r="G802" s="432"/>
      <c r="H802" s="432"/>
    </row>
    <row r="803" spans="1:8" x14ac:dyDescent="0.3">
      <c r="A803" t="str">
        <f>IF('F2 - Données facturation'!$H$32=0,"Hide","")</f>
        <v>Hide</v>
      </c>
      <c r="C803" s="1013" t="s">
        <v>536</v>
      </c>
      <c r="D803" s="1013"/>
      <c r="E803" s="1013"/>
      <c r="F803" s="1013"/>
      <c r="G803" s="1013"/>
      <c r="H803" s="1013"/>
    </row>
    <row r="804" spans="1:8" x14ac:dyDescent="0.3">
      <c r="A804" t="str">
        <f>IF('F2 - Données facturation'!$H$32=0,"Hide","")</f>
        <v>Hide</v>
      </c>
      <c r="C804" s="432"/>
      <c r="D804" s="432"/>
      <c r="E804" s="432"/>
      <c r="F804" s="432"/>
      <c r="G804" s="432"/>
      <c r="H804" s="432"/>
    </row>
    <row r="805" spans="1:8" x14ac:dyDescent="0.3">
      <c r="A805" t="str">
        <f>IF('F2 - Données facturation'!$H$32=0,"Hide","")</f>
        <v>Hide</v>
      </c>
      <c r="C805" s="431">
        <f>E792+E797</f>
        <v>0</v>
      </c>
      <c r="D805" t="s">
        <v>533</v>
      </c>
    </row>
    <row r="806" spans="1:8" x14ac:dyDescent="0.3">
      <c r="A806" t="str">
        <f>IF('F2 - Données facturation'!$H$32=0,"Hide","")</f>
        <v>Hide</v>
      </c>
    </row>
    <row r="807" spans="1:8" x14ac:dyDescent="0.3">
      <c r="A807" t="str">
        <f>IF('F2 - Données facturation'!$H$32=0,"Hide","")</f>
        <v>Hide</v>
      </c>
      <c r="C807" s="1007" t="s">
        <v>535</v>
      </c>
      <c r="D807" s="1007"/>
      <c r="E807" s="1007"/>
      <c r="F807" s="1007"/>
      <c r="G807" s="1007"/>
      <c r="H807" s="1007"/>
    </row>
    <row r="808" spans="1:8" x14ac:dyDescent="0.3">
      <c r="A808" t="str">
        <f>IF('F2 - Données facturation'!$H$32=0,"Hide","")</f>
        <v>Hide</v>
      </c>
    </row>
    <row r="809" spans="1:8" x14ac:dyDescent="0.3">
      <c r="A809" t="str">
        <f>IF('F2 - Données facturation'!$H$32=0,"Hide","")</f>
        <v>Hide</v>
      </c>
      <c r="C809" s="431">
        <f>E792+E801</f>
        <v>0</v>
      </c>
      <c r="D809" t="s">
        <v>533</v>
      </c>
    </row>
    <row r="810" spans="1:8" x14ac:dyDescent="0.3">
      <c r="A810" t="str">
        <f>IF('F2 - Données facturation'!$H$32=0,"Hide","")</f>
        <v>Hide</v>
      </c>
    </row>
    <row r="811" spans="1:8" x14ac:dyDescent="0.3">
      <c r="A811" t="str">
        <f>IF('F2 - Données facturation'!$H$32=0,"Hide","")</f>
        <v>Hide</v>
      </c>
      <c r="C811" s="1008" t="s">
        <v>556</v>
      </c>
      <c r="D811" s="1008"/>
      <c r="E811" s="1008"/>
      <c r="F811" s="1008"/>
      <c r="G811" s="1008"/>
      <c r="H811" s="1008"/>
    </row>
    <row r="812" spans="1:8" x14ac:dyDescent="0.3">
      <c r="A812" t="str">
        <f>IF('F2 - Données facturation'!$H$32=0,"Hide","")</f>
        <v>Hide</v>
      </c>
    </row>
    <row r="813" spans="1:8" x14ac:dyDescent="0.3">
      <c r="A813" t="str">
        <f>IF('F2 - Données facturation'!$H$32=0,"Hide","")</f>
        <v>Hide</v>
      </c>
      <c r="C813" s="431">
        <f>C809</f>
        <v>0</v>
      </c>
      <c r="D813" s="1" t="s">
        <v>533</v>
      </c>
    </row>
    <row r="814" spans="1:8" x14ac:dyDescent="0.3">
      <c r="A814" t="str">
        <f>IF('F2 - Données facturation'!$H$32=0,"Hide","")</f>
        <v>Hide</v>
      </c>
    </row>
    <row r="815" spans="1:8" x14ac:dyDescent="0.3">
      <c r="A815" t="str">
        <f>IF('F2 - Données facturation'!$H$32=0,"Hide","")</f>
        <v>Hide</v>
      </c>
    </row>
    <row r="816" spans="1:8" x14ac:dyDescent="0.3">
      <c r="A816" t="str">
        <f>IF('F2 - Données facturation'!$H$32=0,"Hide","")</f>
        <v>Hide</v>
      </c>
      <c r="C816" s="751" t="s">
        <v>532</v>
      </c>
      <c r="D816" s="751"/>
      <c r="E816" s="751"/>
      <c r="F816" s="751"/>
      <c r="G816" s="751"/>
      <c r="H816" s="751"/>
    </row>
    <row r="817" spans="1:8" x14ac:dyDescent="0.3">
      <c r="A817" t="str">
        <f>IF('F2 - Données facturation'!$H$32=0,"Hide","")</f>
        <v>Hide</v>
      </c>
    </row>
    <row r="818" spans="1:8" x14ac:dyDescent="0.3">
      <c r="A818" t="str">
        <f>IF('F2 - Données facturation'!$H$32=0,"Hide","")</f>
        <v>Hide</v>
      </c>
      <c r="C818" s="178" t="s">
        <v>531</v>
      </c>
    </row>
    <row r="819" spans="1:8" x14ac:dyDescent="0.3">
      <c r="A819" t="str">
        <f>IF('F2 - Données facturation'!$H$32=0,"Hide","")</f>
        <v>Hide</v>
      </c>
      <c r="C819" s="432" t="s">
        <v>530</v>
      </c>
      <c r="D819" s="432"/>
      <c r="E819" s="433">
        <f>0.2*C813</f>
        <v>0</v>
      </c>
      <c r="F819" s="432" t="s">
        <v>529</v>
      </c>
      <c r="G819" s="432"/>
      <c r="H819" s="432"/>
    </row>
    <row r="820" spans="1:8" x14ac:dyDescent="0.3">
      <c r="A820" t="str">
        <f>IF('F2 - Données facturation'!$H$32=0,"Hide","")</f>
        <v>Hide</v>
      </c>
      <c r="C820" s="432" t="s">
        <v>528</v>
      </c>
      <c r="D820" s="432"/>
      <c r="E820" s="435">
        <f>E819*40</f>
        <v>0</v>
      </c>
      <c r="F820" s="432" t="s">
        <v>527</v>
      </c>
      <c r="G820" s="432"/>
      <c r="H820" s="432"/>
    </row>
    <row r="821" spans="1:8" x14ac:dyDescent="0.3">
      <c r="A821" t="str">
        <f>IF('F2 - Données facturation'!$H$32=0,"Hide","")</f>
        <v>Hide</v>
      </c>
      <c r="C821" s="432"/>
      <c r="D821" s="432"/>
      <c r="E821" s="432"/>
      <c r="F821" s="432"/>
      <c r="G821" s="432"/>
      <c r="H821" s="432"/>
    </row>
    <row r="822" spans="1:8" x14ac:dyDescent="0.3">
      <c r="A822" t="str">
        <f>IF('F2 - Données facturation'!$H$32=0,"Hide","")</f>
        <v>Hide</v>
      </c>
      <c r="C822" s="432"/>
      <c r="D822" s="432"/>
      <c r="E822" s="432"/>
      <c r="F822" s="432"/>
      <c r="G822" s="432"/>
      <c r="H822" s="432"/>
    </row>
    <row r="823" spans="1:8" x14ac:dyDescent="0.3">
      <c r="A823" t="str">
        <f>IF('F2 - Données facturation'!$H$32=0,"Hide","")</f>
        <v>Hide</v>
      </c>
      <c r="C823" s="432"/>
      <c r="D823" s="432"/>
      <c r="E823" s="432"/>
      <c r="F823" s="432"/>
      <c r="G823" s="432"/>
      <c r="H823" s="432"/>
    </row>
    <row r="824" spans="1:8" x14ac:dyDescent="0.3">
      <c r="A824" t="str">
        <f>IF('F2 - Données facturation'!$H$32=0,"Hide","")</f>
        <v>Hide</v>
      </c>
      <c r="C824" s="432" t="s">
        <v>526</v>
      </c>
      <c r="D824" s="432"/>
      <c r="E824" s="432"/>
      <c r="F824" s="432"/>
      <c r="G824" s="432"/>
      <c r="H824" s="432"/>
    </row>
    <row r="825" spans="1:8" x14ac:dyDescent="0.3">
      <c r="A825" t="str">
        <f>IF('F2 - Données facturation'!$H$32=0,"Hide","")</f>
        <v>Hide</v>
      </c>
      <c r="C825" s="1009" t="s">
        <v>525</v>
      </c>
      <c r="D825" s="1009"/>
      <c r="E825" s="1009"/>
      <c r="F825" s="1009"/>
      <c r="G825" s="1009"/>
      <c r="H825" s="1009"/>
    </row>
    <row r="826" spans="1:8" x14ac:dyDescent="0.3">
      <c r="A826" t="str">
        <f>IF('F2 - Données facturation'!$H$32=0,"Hide","")</f>
        <v>Hide</v>
      </c>
    </row>
    <row r="827" spans="1:8" x14ac:dyDescent="0.3">
      <c r="A827" t="str">
        <f>IF('F2 - Données facturation'!$H$32=0,"Hide","")</f>
        <v>Hide</v>
      </c>
      <c r="C827" s="435" t="s">
        <v>555</v>
      </c>
      <c r="D827" s="432"/>
      <c r="E827" s="432"/>
      <c r="F827" s="432"/>
    </row>
    <row r="828" spans="1:8" x14ac:dyDescent="0.3">
      <c r="A828" t="str">
        <f>IF('F2 - Données facturation'!$H$32=0,"Hide","")</f>
        <v>Hide</v>
      </c>
      <c r="C828" s="433">
        <f>C813-E819</f>
        <v>0</v>
      </c>
      <c r="D828" s="432" t="s">
        <v>523</v>
      </c>
      <c r="E828" s="432"/>
      <c r="F828" s="432"/>
    </row>
    <row r="829" spans="1:8" x14ac:dyDescent="0.3">
      <c r="A829" t="str">
        <f>IF('F2 - Données facturation'!$H$32=0,"Hide","")</f>
        <v>Hide</v>
      </c>
      <c r="C829" s="432"/>
      <c r="D829" s="432"/>
      <c r="E829" s="432"/>
      <c r="F829" s="432"/>
    </row>
    <row r="830" spans="1:8" x14ac:dyDescent="0.3">
      <c r="A830" t="str">
        <f>IF('F2 - Données facturation'!$H$32=0,"Hide","")</f>
        <v>Hide</v>
      </c>
      <c r="C830" s="432"/>
      <c r="D830" s="432"/>
      <c r="E830" s="432"/>
      <c r="F830" s="432"/>
    </row>
    <row r="831" spans="1:8" x14ac:dyDescent="0.3">
      <c r="A831" t="str">
        <f>IF('F2 - Données facturation'!$H$32=0,"Hide","")</f>
        <v>Hide</v>
      </c>
      <c r="C831" s="432"/>
      <c r="D831" s="432"/>
      <c r="E831" s="432"/>
      <c r="F831" s="432"/>
    </row>
    <row r="832" spans="1:8" x14ac:dyDescent="0.3">
      <c r="A832" t="str">
        <f>IF('F2 - Données facturation'!$H$32=0,"Hide","")</f>
        <v>Hide</v>
      </c>
      <c r="C832" s="432"/>
      <c r="D832" s="432"/>
      <c r="E832" s="432"/>
      <c r="F832" s="432"/>
    </row>
    <row r="833" spans="1:6" x14ac:dyDescent="0.3">
      <c r="A833" t="str">
        <f>IF('F2 - Données facturation'!$H$32=0,"Hide","")</f>
        <v>Hide</v>
      </c>
      <c r="C833" s="432"/>
      <c r="D833" s="432"/>
      <c r="E833" s="432"/>
      <c r="F833" s="432"/>
    </row>
    <row r="834" spans="1:6" x14ac:dyDescent="0.3">
      <c r="A834" t="str">
        <f>IF('F2 - Données facturation'!$H$32=0,"Hide","")</f>
        <v>Hide</v>
      </c>
      <c r="C834" s="432"/>
      <c r="D834" s="432"/>
      <c r="E834" s="432"/>
      <c r="F834" s="432"/>
    </row>
    <row r="835" spans="1:6" x14ac:dyDescent="0.3">
      <c r="A835" t="str">
        <f>IF('F2 - Données facturation'!$H$32=0,"Hide","")</f>
        <v>Hide</v>
      </c>
      <c r="C835" s="432"/>
      <c r="D835" s="432"/>
      <c r="E835" s="432"/>
      <c r="F835" s="432"/>
    </row>
    <row r="836" spans="1:6" x14ac:dyDescent="0.3">
      <c r="A836" t="str">
        <f>IF('F2 - Données facturation'!$H$32=0,"Hide","")</f>
        <v>Hide</v>
      </c>
      <c r="C836" s="432"/>
      <c r="D836" s="432"/>
      <c r="E836" s="432"/>
      <c r="F836" s="432"/>
    </row>
    <row r="837" spans="1:6" x14ac:dyDescent="0.3">
      <c r="A837" t="str">
        <f>IF('F2 - Données facturation'!$H$32=0,"Hide","")</f>
        <v>Hide</v>
      </c>
      <c r="C837" s="432"/>
      <c r="D837" s="432"/>
      <c r="E837" s="432"/>
      <c r="F837" s="432"/>
    </row>
    <row r="838" spans="1:6" x14ac:dyDescent="0.3">
      <c r="A838" t="str">
        <f>IF('F2 - Données facturation'!$H$32=0,"Hide","")</f>
        <v>Hide</v>
      </c>
      <c r="C838" s="432"/>
      <c r="D838" s="432"/>
      <c r="E838" s="432"/>
      <c r="F838" s="432"/>
    </row>
    <row r="839" spans="1:6" x14ac:dyDescent="0.3">
      <c r="A839" t="str">
        <f>IF('F2 - Données facturation'!$H$32=0,"Hide","")</f>
        <v>Hide</v>
      </c>
      <c r="C839" s="432" t="s">
        <v>522</v>
      </c>
      <c r="D839" s="433">
        <f>C828</f>
        <v>0</v>
      </c>
      <c r="E839" s="432" t="s">
        <v>519</v>
      </c>
      <c r="F839" s="432"/>
    </row>
    <row r="840" spans="1:6" x14ac:dyDescent="0.3">
      <c r="A840" t="str">
        <f>IF('F2 - Données facturation'!$H$32=0,"Hide","")</f>
        <v>Hide</v>
      </c>
      <c r="C840" s="433">
        <f>D839*0.2</f>
        <v>0</v>
      </c>
      <c r="D840" s="432" t="s">
        <v>521</v>
      </c>
      <c r="E840" s="432"/>
      <c r="F840" s="432"/>
    </row>
    <row r="841" spans="1:6" x14ac:dyDescent="0.3">
      <c r="A841" t="str">
        <f>IF('F2 - Données facturation'!$H$32=0,"Hide","")</f>
        <v>Hide</v>
      </c>
      <c r="C841" s="432"/>
      <c r="D841" s="432"/>
      <c r="E841" s="432"/>
      <c r="F841" s="432"/>
    </row>
    <row r="842" spans="1:6" x14ac:dyDescent="0.3">
      <c r="A842" t="str">
        <f>IF('F2 - Données facturation'!$H$32=0,"Hide","")</f>
        <v>Hide</v>
      </c>
      <c r="C842" s="432"/>
      <c r="D842" s="432"/>
      <c r="E842" s="432"/>
      <c r="F842" s="432"/>
    </row>
    <row r="843" spans="1:6" x14ac:dyDescent="0.3">
      <c r="A843" t="str">
        <f>IF('F2 - Données facturation'!$H$32=0,"Hide","")</f>
        <v>Hide</v>
      </c>
    </row>
    <row r="844" spans="1:6" x14ac:dyDescent="0.3">
      <c r="A844" t="str">
        <f>IF('F2 - Données facturation'!$H$32=0,"Hide","")</f>
        <v>Hide</v>
      </c>
    </row>
    <row r="845" spans="1:6" x14ac:dyDescent="0.3">
      <c r="A845" t="str">
        <f>IF('F2 - Données facturation'!$H$32=0,"Hide","")</f>
        <v>Hide</v>
      </c>
      <c r="B845" s="432"/>
      <c r="C845" s="432"/>
    </row>
    <row r="846" spans="1:6" x14ac:dyDescent="0.3">
      <c r="A846" t="str">
        <f>IF('F2 - Données facturation'!$H$32=0,"Hide","")</f>
        <v>Hide</v>
      </c>
      <c r="B846" s="432"/>
      <c r="C846" s="432"/>
    </row>
    <row r="847" spans="1:6" x14ac:dyDescent="0.3">
      <c r="A847" t="str">
        <f>IF('F2 - Données facturation'!$H$32=0,"Hide","")</f>
        <v>Hide</v>
      </c>
      <c r="B847" s="432"/>
      <c r="C847" s="432"/>
    </row>
    <row r="848" spans="1:6" x14ac:dyDescent="0.3">
      <c r="A848" t="str">
        <f>IF('F2 - Données facturation'!$H$32=0,"Hide","")</f>
        <v>Hide</v>
      </c>
      <c r="B848" s="432"/>
      <c r="C848" s="434" t="s">
        <v>520</v>
      </c>
      <c r="D848" s="431">
        <f>C828</f>
        <v>0</v>
      </c>
      <c r="E848" s="432" t="s">
        <v>519</v>
      </c>
    </row>
    <row r="849" spans="1:8" x14ac:dyDescent="0.3">
      <c r="A849" t="str">
        <f>IF('F2 - Données facturation'!$H$32=0,"Hide","")</f>
        <v>Hide</v>
      </c>
      <c r="C849" s="433">
        <f>D848*0.4</f>
        <v>0</v>
      </c>
      <c r="D849" t="s">
        <v>518</v>
      </c>
    </row>
    <row r="850" spans="1:8" x14ac:dyDescent="0.3">
      <c r="A850" t="str">
        <f>IF('F2 - Données facturation'!$H$32=0,"Hide","")</f>
        <v>Hide</v>
      </c>
    </row>
    <row r="851" spans="1:8" x14ac:dyDescent="0.3">
      <c r="A851" t="str">
        <f>IF('F2 - Données facturation'!$H$32=0,"Hide","")</f>
        <v>Hide</v>
      </c>
    </row>
    <row r="852" spans="1:8" x14ac:dyDescent="0.3">
      <c r="A852" t="str">
        <f>IF('F2 - Données facturation'!$H$32=0,"Hide","")</f>
        <v>Hide</v>
      </c>
    </row>
    <row r="853" spans="1:8" x14ac:dyDescent="0.3">
      <c r="A853" t="str">
        <f>IF('F2 - Données facturation'!$H$32=0,"Hide","")</f>
        <v>Hide</v>
      </c>
      <c r="C853" s="1002" t="s">
        <v>517</v>
      </c>
      <c r="D853" s="1002"/>
      <c r="E853" s="1002"/>
      <c r="F853" s="431">
        <f>C828</f>
        <v>0</v>
      </c>
      <c r="G853" t="s">
        <v>56</v>
      </c>
    </row>
    <row r="854" spans="1:8" x14ac:dyDescent="0.3">
      <c r="A854" t="str">
        <f>IF('F2 - Données facturation'!$H$32=0,"Hide","")</f>
        <v>Hide</v>
      </c>
      <c r="C854" s="1002" t="s">
        <v>516</v>
      </c>
      <c r="D854" s="1002"/>
      <c r="E854" s="1002"/>
      <c r="F854" s="431">
        <f>C840</f>
        <v>0</v>
      </c>
      <c r="G854" t="s">
        <v>56</v>
      </c>
    </row>
    <row r="855" spans="1:8" x14ac:dyDescent="0.3">
      <c r="A855" t="str">
        <f>IF('F2 - Données facturation'!$H$32=0,"Hide","")</f>
        <v>Hide</v>
      </c>
      <c r="C855" s="1002" t="s">
        <v>515</v>
      </c>
      <c r="D855" s="1002"/>
      <c r="E855" s="1002"/>
      <c r="F855" s="431">
        <f>C849</f>
        <v>0</v>
      </c>
      <c r="G855" t="s">
        <v>56</v>
      </c>
    </row>
    <row r="856" spans="1:8" x14ac:dyDescent="0.3">
      <c r="A856" t="str">
        <f>IF('F2 - Données facturation'!$H$32=0,"Hide","")</f>
        <v>Hide</v>
      </c>
    </row>
    <row r="857" spans="1:8" ht="15.6" x14ac:dyDescent="0.3">
      <c r="A857" t="str">
        <f>IF('F2 - Données facturation'!$H$32=0,"Hide","")</f>
        <v>Hide</v>
      </c>
      <c r="C857" s="1003" t="s">
        <v>514</v>
      </c>
      <c r="D857" s="1002"/>
      <c r="E857" s="1002"/>
      <c r="F857" s="431">
        <f>F853-F854-F855</f>
        <v>0</v>
      </c>
      <c r="G857" t="s">
        <v>56</v>
      </c>
    </row>
    <row r="858" spans="1:8" x14ac:dyDescent="0.3">
      <c r="A858" t="str">
        <f>IF('F2 - Données facturation'!$M$32=0,"Hide","")</f>
        <v>Hide</v>
      </c>
    </row>
    <row r="859" spans="1:8" x14ac:dyDescent="0.3">
      <c r="A859" t="str">
        <f>IF('F2 - Données facturation'!$M$32=0,"Hide","")</f>
        <v>Hide</v>
      </c>
    </row>
    <row r="860" spans="1:8" x14ac:dyDescent="0.3">
      <c r="A860" t="str">
        <f>IF('F2 - Données facturation'!$M$32=0,"Hide","")</f>
        <v>Hide</v>
      </c>
    </row>
    <row r="861" spans="1:8" x14ac:dyDescent="0.3">
      <c r="A861" t="str">
        <f>IF('F2 - Données facturation'!$M$32=0,"Hide","")</f>
        <v>Hide</v>
      </c>
    </row>
    <row r="862" spans="1:8" x14ac:dyDescent="0.3">
      <c r="A862" t="str">
        <f>IF('F2 - Données facturation'!$M$32=0,"Hide","")</f>
        <v>Hide</v>
      </c>
      <c r="C862" s="1012" t="s">
        <v>554</v>
      </c>
      <c r="D862" s="1012"/>
      <c r="E862" s="1012"/>
      <c r="F862" s="1012"/>
      <c r="G862" s="1012"/>
      <c r="H862" s="1012"/>
    </row>
    <row r="863" spans="1:8" x14ac:dyDescent="0.3">
      <c r="A863" t="str">
        <f>IF('F2 - Données facturation'!$M$32=0,"Hide","")</f>
        <v>Hide</v>
      </c>
    </row>
    <row r="864" spans="1:8" x14ac:dyDescent="0.3">
      <c r="A864" t="str">
        <f>IF('F2 - Données facturation'!$M$32=0,"Hide","")</f>
        <v>Hide</v>
      </c>
      <c r="C864" s="436" t="s">
        <v>553</v>
      </c>
    </row>
    <row r="865" spans="1:8" x14ac:dyDescent="0.3">
      <c r="A865" t="str">
        <f>IF('F2 - Données facturation'!$M$32=0,"Hide","")</f>
        <v>Hide</v>
      </c>
    </row>
    <row r="866" spans="1:8" x14ac:dyDescent="0.3">
      <c r="A866" t="str">
        <f>IF('F2 - Données facturation'!$M$32=0,"Hide","")</f>
        <v>Hide</v>
      </c>
      <c r="C866" s="432" t="s">
        <v>552</v>
      </c>
      <c r="E866" s="431">
        <f>0.47*J555</f>
        <v>0</v>
      </c>
      <c r="F866" t="s">
        <v>533</v>
      </c>
    </row>
    <row r="867" spans="1:8" x14ac:dyDescent="0.3">
      <c r="A867" t="str">
        <f>IF('F2 - Données facturation'!$M$32=0,"Hide","")</f>
        <v>Hide</v>
      </c>
    </row>
    <row r="868" spans="1:8" x14ac:dyDescent="0.3">
      <c r="A868" t="str">
        <f>IF('F2 - Données facturation'!$M$32=0,"Hide","")</f>
        <v>Hide</v>
      </c>
    </row>
    <row r="869" spans="1:8" x14ac:dyDescent="0.3">
      <c r="A869" t="str">
        <f>IF('F2 - Données facturation'!$M$32=0,"Hide","")</f>
        <v>Hide</v>
      </c>
    </row>
    <row r="870" spans="1:8" x14ac:dyDescent="0.3">
      <c r="A870" t="str">
        <f>IF('F2 - Données facturation'!$M$32=0,"Hide","")</f>
        <v>Hide</v>
      </c>
      <c r="C870" s="1008" t="s">
        <v>551</v>
      </c>
      <c r="D870" s="1008"/>
      <c r="E870" s="1008"/>
      <c r="F870" s="1008"/>
      <c r="G870" s="1008"/>
      <c r="H870" s="1008"/>
    </row>
    <row r="871" spans="1:8" x14ac:dyDescent="0.3">
      <c r="A871" t="str">
        <f>IF('F2 - Données facturation'!$M$32=0,"Hide","")</f>
        <v>Hide</v>
      </c>
    </row>
    <row r="872" spans="1:8" x14ac:dyDescent="0.3">
      <c r="A872" t="str">
        <f>IF('F2 - Données facturation'!$M$32=0,"Hide","")</f>
        <v>Hide</v>
      </c>
      <c r="C872" s="431">
        <f>E866</f>
        <v>0</v>
      </c>
      <c r="D872" s="1" t="s">
        <v>533</v>
      </c>
    </row>
    <row r="873" spans="1:8" x14ac:dyDescent="0.3">
      <c r="A873" t="str">
        <f>IF('F2 - Données facturation'!$M$32=0,"Hide","")</f>
        <v>Hide</v>
      </c>
    </row>
    <row r="874" spans="1:8" x14ac:dyDescent="0.3">
      <c r="A874" t="str">
        <f>IF('F2 - Données facturation'!$M$32=0,"Hide","")</f>
        <v>Hide</v>
      </c>
    </row>
    <row r="875" spans="1:8" x14ac:dyDescent="0.3">
      <c r="A875" t="str">
        <f>IF('F2 - Données facturation'!$M$32=0,"Hide","")</f>
        <v>Hide</v>
      </c>
      <c r="C875" s="751" t="s">
        <v>532</v>
      </c>
      <c r="D875" s="751"/>
      <c r="E875" s="751"/>
      <c r="F875" s="751"/>
      <c r="G875" s="751"/>
      <c r="H875" s="751"/>
    </row>
    <row r="876" spans="1:8" x14ac:dyDescent="0.3">
      <c r="A876" t="str">
        <f>IF('F2 - Données facturation'!$M$32=0,"Hide","")</f>
        <v>Hide</v>
      </c>
    </row>
    <row r="877" spans="1:8" x14ac:dyDescent="0.3">
      <c r="A877" t="str">
        <f>IF('F2 - Données facturation'!$M$32=0,"Hide","")</f>
        <v>Hide</v>
      </c>
      <c r="C877" s="178" t="s">
        <v>531</v>
      </c>
    </row>
    <row r="878" spans="1:8" x14ac:dyDescent="0.3">
      <c r="A878" t="str">
        <f>IF('F2 - Données facturation'!$M$32=0,"Hide","")</f>
        <v>Hide</v>
      </c>
      <c r="C878" s="432" t="s">
        <v>530</v>
      </c>
      <c r="E878" s="431">
        <f>0.2*C872</f>
        <v>0</v>
      </c>
      <c r="F878" t="s">
        <v>529</v>
      </c>
    </row>
    <row r="879" spans="1:8" x14ac:dyDescent="0.3">
      <c r="A879" t="str">
        <f>IF('F2 - Données facturation'!$M$32=0,"Hide","")</f>
        <v>Hide</v>
      </c>
      <c r="C879" t="s">
        <v>528</v>
      </c>
      <c r="E879" s="304">
        <f>E878*40</f>
        <v>0</v>
      </c>
      <c r="F879" t="s">
        <v>527</v>
      </c>
    </row>
    <row r="880" spans="1:8" x14ac:dyDescent="0.3">
      <c r="A880" t="str">
        <f>IF('F2 - Données facturation'!$M$32=0,"Hide","")</f>
        <v>Hide</v>
      </c>
    </row>
    <row r="881" spans="1:8" x14ac:dyDescent="0.3">
      <c r="A881" t="str">
        <f>IF('F2 - Données facturation'!$M$32=0,"Hide","")</f>
        <v>Hide</v>
      </c>
    </row>
    <row r="882" spans="1:8" x14ac:dyDescent="0.3">
      <c r="A882" t="str">
        <f>IF('F2 - Données facturation'!$M$32=0,"Hide","")</f>
        <v>Hide</v>
      </c>
    </row>
    <row r="883" spans="1:8" x14ac:dyDescent="0.3">
      <c r="A883" t="str">
        <f>IF('F2 - Données facturation'!$M$32=0,"Hide","")</f>
        <v>Hide</v>
      </c>
      <c r="C883" t="s">
        <v>526</v>
      </c>
    </row>
    <row r="884" spans="1:8" x14ac:dyDescent="0.3">
      <c r="A884" t="str">
        <f>IF('F2 - Données facturation'!$M$32=0,"Hide","")</f>
        <v>Hide</v>
      </c>
      <c r="C884" s="1009" t="s">
        <v>525</v>
      </c>
      <c r="D884" s="1009"/>
      <c r="E884" s="1009"/>
      <c r="F884" s="1009"/>
      <c r="G884" s="1009"/>
      <c r="H884" s="1009"/>
    </row>
    <row r="885" spans="1:8" x14ac:dyDescent="0.3">
      <c r="A885" t="str">
        <f>IF('F2 - Données facturation'!$M$32=0,"Hide","")</f>
        <v>Hide</v>
      </c>
    </row>
    <row r="886" spans="1:8" x14ac:dyDescent="0.3">
      <c r="A886" t="str">
        <f>IF('F2 - Données facturation'!$M$32=0,"Hide","")</f>
        <v>Hide</v>
      </c>
      <c r="C886" s="304" t="s">
        <v>550</v>
      </c>
    </row>
    <row r="887" spans="1:8" x14ac:dyDescent="0.3">
      <c r="A887" t="str">
        <f>IF('F2 - Données facturation'!$M$32=0,"Hide","")</f>
        <v>Hide</v>
      </c>
      <c r="C887" s="431">
        <f>C872-E878</f>
        <v>0</v>
      </c>
      <c r="D887" t="s">
        <v>523</v>
      </c>
    </row>
    <row r="888" spans="1:8" x14ac:dyDescent="0.3">
      <c r="A888" t="str">
        <f>IF('F2 - Données facturation'!$M$32=0,"Hide","")</f>
        <v>Hide</v>
      </c>
    </row>
    <row r="889" spans="1:8" x14ac:dyDescent="0.3">
      <c r="A889" t="str">
        <f>IF('F2 - Données facturation'!$M$32=0,"Hide","")</f>
        <v>Hide</v>
      </c>
    </row>
    <row r="890" spans="1:8" x14ac:dyDescent="0.3">
      <c r="A890" t="str">
        <f>IF('F2 - Données facturation'!$M$32=0,"Hide","")</f>
        <v>Hide</v>
      </c>
    </row>
    <row r="891" spans="1:8" x14ac:dyDescent="0.3">
      <c r="A891" t="str">
        <f>IF('F2 - Données facturation'!$M$32=0,"Hide","")</f>
        <v>Hide</v>
      </c>
    </row>
    <row r="892" spans="1:8" x14ac:dyDescent="0.3">
      <c r="A892" t="str">
        <f>IF('F2 - Données facturation'!$M$32=0,"Hide","")</f>
        <v>Hide</v>
      </c>
    </row>
    <row r="893" spans="1:8" x14ac:dyDescent="0.3">
      <c r="A893" t="str">
        <f>IF('F2 - Données facturation'!$M$32=0,"Hide","")</f>
        <v>Hide</v>
      </c>
    </row>
    <row r="894" spans="1:8" x14ac:dyDescent="0.3">
      <c r="A894" t="str">
        <f>IF('F2 - Données facturation'!$M$32=0,"Hide","")</f>
        <v>Hide</v>
      </c>
    </row>
    <row r="895" spans="1:8" x14ac:dyDescent="0.3">
      <c r="A895" t="str">
        <f>IF('F2 - Données facturation'!$M$32=0,"Hide","")</f>
        <v>Hide</v>
      </c>
    </row>
    <row r="896" spans="1:8" x14ac:dyDescent="0.3">
      <c r="A896" t="str">
        <f>IF('F2 - Données facturation'!$M$32=0,"Hide","")</f>
        <v>Hide</v>
      </c>
    </row>
    <row r="897" spans="1:7" x14ac:dyDescent="0.3">
      <c r="A897" t="str">
        <f>IF('F2 - Données facturation'!$M$32=0,"Hide","")</f>
        <v>Hide</v>
      </c>
    </row>
    <row r="898" spans="1:7" x14ac:dyDescent="0.3">
      <c r="A898" t="str">
        <f>IF('F2 - Données facturation'!$M$32=0,"Hide","")</f>
        <v>Hide</v>
      </c>
      <c r="C898" s="432" t="s">
        <v>522</v>
      </c>
      <c r="D898" s="431">
        <f>C887</f>
        <v>0</v>
      </c>
      <c r="E898" s="432" t="s">
        <v>519</v>
      </c>
    </row>
    <row r="899" spans="1:7" x14ac:dyDescent="0.3">
      <c r="A899" t="str">
        <f>IF('F2 - Données facturation'!$M$32=0,"Hide","")</f>
        <v>Hide</v>
      </c>
      <c r="C899" s="431">
        <f>D898*0.2</f>
        <v>0</v>
      </c>
      <c r="D899" t="s">
        <v>521</v>
      </c>
    </row>
    <row r="900" spans="1:7" x14ac:dyDescent="0.3">
      <c r="A900" t="str">
        <f>IF('F2 - Données facturation'!$M$32=0,"Hide","")</f>
        <v>Hide</v>
      </c>
    </row>
    <row r="901" spans="1:7" x14ac:dyDescent="0.3">
      <c r="A901" t="str">
        <f>IF('F2 - Données facturation'!$M$32=0,"Hide","")</f>
        <v>Hide</v>
      </c>
    </row>
    <row r="902" spans="1:7" x14ac:dyDescent="0.3">
      <c r="A902" t="str">
        <f>IF('F2 - Données facturation'!$M$32=0,"Hide","")</f>
        <v>Hide</v>
      </c>
    </row>
    <row r="903" spans="1:7" x14ac:dyDescent="0.3">
      <c r="A903" t="str">
        <f>IF('F2 - Données facturation'!$M$32=0,"Hide","")</f>
        <v>Hide</v>
      </c>
    </row>
    <row r="904" spans="1:7" x14ac:dyDescent="0.3">
      <c r="A904" t="str">
        <f>IF('F2 - Données facturation'!$M$32=0,"Hide","")</f>
        <v>Hide</v>
      </c>
    </row>
    <row r="905" spans="1:7" x14ac:dyDescent="0.3">
      <c r="A905" t="str">
        <f>IF('F2 - Données facturation'!$M$32=0,"Hide","")</f>
        <v>Hide</v>
      </c>
    </row>
    <row r="906" spans="1:7" x14ac:dyDescent="0.3">
      <c r="A906" t="str">
        <f>IF('F2 - Données facturation'!$M$32=0,"Hide","")</f>
        <v>Hide</v>
      </c>
    </row>
    <row r="907" spans="1:7" x14ac:dyDescent="0.3">
      <c r="A907" t="str">
        <f>IF('F2 - Données facturation'!$M$32=0,"Hide","")</f>
        <v>Hide</v>
      </c>
      <c r="C907" s="434" t="s">
        <v>520</v>
      </c>
      <c r="D907" s="431">
        <f>C887</f>
        <v>0</v>
      </c>
      <c r="E907" s="432" t="s">
        <v>519</v>
      </c>
    </row>
    <row r="908" spans="1:7" x14ac:dyDescent="0.3">
      <c r="A908" t="str">
        <f>IF('F2 - Données facturation'!$M$32=0,"Hide","")</f>
        <v>Hide</v>
      </c>
      <c r="C908" s="431">
        <f>D907*0.4</f>
        <v>0</v>
      </c>
      <c r="D908" t="s">
        <v>518</v>
      </c>
    </row>
    <row r="909" spans="1:7" x14ac:dyDescent="0.3">
      <c r="A909" t="str">
        <f>IF('F2 - Données facturation'!$M$32=0,"Hide","")</f>
        <v>Hide</v>
      </c>
    </row>
    <row r="910" spans="1:7" x14ac:dyDescent="0.3">
      <c r="A910" t="str">
        <f>IF('F2 - Données facturation'!$M$32=0,"Hide","")</f>
        <v>Hide</v>
      </c>
    </row>
    <row r="911" spans="1:7" x14ac:dyDescent="0.3">
      <c r="A911" t="str">
        <f>IF('F2 - Données facturation'!$M$32=0,"Hide","")</f>
        <v>Hide</v>
      </c>
    </row>
    <row r="912" spans="1:7" x14ac:dyDescent="0.3">
      <c r="A912" t="str">
        <f>IF('F2 - Données facturation'!$M$32=0,"Hide","")</f>
        <v>Hide</v>
      </c>
      <c r="C912" s="1002" t="s">
        <v>517</v>
      </c>
      <c r="D912" s="1002"/>
      <c r="E912" s="1002"/>
      <c r="F912" s="431">
        <f>C887</f>
        <v>0</v>
      </c>
      <c r="G912" t="s">
        <v>56</v>
      </c>
    </row>
    <row r="913" spans="1:8" x14ac:dyDescent="0.3">
      <c r="A913" t="str">
        <f>IF('F2 - Données facturation'!$M$32=0,"Hide","")</f>
        <v>Hide</v>
      </c>
      <c r="C913" s="1002" t="s">
        <v>516</v>
      </c>
      <c r="D913" s="1002"/>
      <c r="E913" s="1002"/>
      <c r="F913" s="431">
        <f>C899</f>
        <v>0</v>
      </c>
      <c r="G913" t="s">
        <v>56</v>
      </c>
    </row>
    <row r="914" spans="1:8" x14ac:dyDescent="0.3">
      <c r="A914" t="str">
        <f>IF('F2 - Données facturation'!$M$32=0,"Hide","")</f>
        <v>Hide</v>
      </c>
      <c r="C914" s="1002" t="s">
        <v>515</v>
      </c>
      <c r="D914" s="1002"/>
      <c r="E914" s="1002"/>
      <c r="F914" s="431">
        <f>C908</f>
        <v>0</v>
      </c>
      <c r="G914" t="s">
        <v>56</v>
      </c>
    </row>
    <row r="915" spans="1:8" x14ac:dyDescent="0.3">
      <c r="A915" t="str">
        <f>IF('F2 - Données facturation'!$M$32=0,"Hide","")</f>
        <v>Hide</v>
      </c>
    </row>
    <row r="916" spans="1:8" ht="15.6" x14ac:dyDescent="0.3">
      <c r="A916" t="str">
        <f>IF('F2 - Données facturation'!$M$32=0,"Hide","")</f>
        <v>Hide</v>
      </c>
      <c r="C916" s="1003" t="s">
        <v>514</v>
      </c>
      <c r="D916" s="1002"/>
      <c r="E916" s="1002"/>
      <c r="F916" s="431">
        <f>F912-F913-F914</f>
        <v>0</v>
      </c>
      <c r="G916" t="s">
        <v>56</v>
      </c>
    </row>
    <row r="917" spans="1:8" x14ac:dyDescent="0.3">
      <c r="A917" t="str">
        <f>IF('F2 - Données facturation'!$M$32=0,"Hide","")</f>
        <v>Hide</v>
      </c>
    </row>
    <row r="918" spans="1:8" x14ac:dyDescent="0.3">
      <c r="A918" t="str">
        <f>IF('F2 - Données facturation'!$J$32=0,"Hide","")</f>
        <v>Hide</v>
      </c>
    </row>
    <row r="919" spans="1:8" x14ac:dyDescent="0.3">
      <c r="A919" t="str">
        <f>IF('F2 - Données facturation'!$J$32=0,"Hide","")</f>
        <v>Hide</v>
      </c>
    </row>
    <row r="920" spans="1:8" x14ac:dyDescent="0.3">
      <c r="A920" t="str">
        <f>IF('F2 - Données facturation'!$J$32=0,"Hide","")</f>
        <v>Hide</v>
      </c>
    </row>
    <row r="921" spans="1:8" x14ac:dyDescent="0.3">
      <c r="A921" t="str">
        <f>IF('F2 - Données facturation'!$J$32=0,"Hide","")</f>
        <v>Hide</v>
      </c>
    </row>
    <row r="922" spans="1:8" x14ac:dyDescent="0.3">
      <c r="A922" t="str">
        <f>IF('F2 - Données facturation'!$J$32=0,"Hide","")</f>
        <v>Hide</v>
      </c>
      <c r="C922" s="1012" t="s">
        <v>549</v>
      </c>
      <c r="D922" s="1012"/>
      <c r="E922" s="1012"/>
      <c r="F922" s="1012"/>
      <c r="G922" s="1012"/>
      <c r="H922" s="1012"/>
    </row>
    <row r="923" spans="1:8" x14ac:dyDescent="0.3">
      <c r="A923" t="str">
        <f>IF('F2 - Données facturation'!$J$32=0,"Hide","")</f>
        <v>Hide</v>
      </c>
    </row>
    <row r="924" spans="1:8" x14ac:dyDescent="0.3">
      <c r="A924" t="str">
        <f>IF('F2 - Données facturation'!$J$32=0,"Hide","")</f>
        <v>Hide</v>
      </c>
      <c r="C924" s="436" t="s">
        <v>548</v>
      </c>
    </row>
    <row r="925" spans="1:8" x14ac:dyDescent="0.3">
      <c r="A925" t="str">
        <f>IF('F2 - Données facturation'!$J$32=0,"Hide","")</f>
        <v>Hide</v>
      </c>
      <c r="C925" s="432"/>
    </row>
    <row r="926" spans="1:8" x14ac:dyDescent="0.3">
      <c r="A926" t="str">
        <f>IF('F2 - Données facturation'!$J$32=0,"Hide","")</f>
        <v>Hide</v>
      </c>
      <c r="C926" s="432" t="s">
        <v>547</v>
      </c>
      <c r="E926" s="431">
        <f>1.17*H579</f>
        <v>0</v>
      </c>
      <c r="F926" t="s">
        <v>533</v>
      </c>
    </row>
    <row r="927" spans="1:8" x14ac:dyDescent="0.3">
      <c r="A927" t="str">
        <f>IF('F2 - Données facturation'!$J$32=0,"Hide","")</f>
        <v>Hide</v>
      </c>
    </row>
    <row r="928" spans="1:8" x14ac:dyDescent="0.3">
      <c r="A928" t="str">
        <f>IF('F2 - Données facturation'!$J$32=0,"Hide","")</f>
        <v>Hide</v>
      </c>
      <c r="C928" s="1008" t="s">
        <v>546</v>
      </c>
      <c r="D928" s="1008"/>
      <c r="E928" s="1008"/>
      <c r="F928" s="1008"/>
      <c r="G928" s="1008"/>
      <c r="H928" s="1008"/>
    </row>
    <row r="929" spans="1:8" x14ac:dyDescent="0.3">
      <c r="A929" t="str">
        <f>IF('F2 - Données facturation'!$J$32=0,"Hide","")</f>
        <v>Hide</v>
      </c>
    </row>
    <row r="930" spans="1:8" x14ac:dyDescent="0.3">
      <c r="A930" t="str">
        <f>IF('F2 - Données facturation'!$J$32=0,"Hide","")</f>
        <v>Hide</v>
      </c>
      <c r="C930" s="431">
        <f>E926</f>
        <v>0</v>
      </c>
      <c r="D930" s="1" t="s">
        <v>533</v>
      </c>
    </row>
    <row r="931" spans="1:8" x14ac:dyDescent="0.3">
      <c r="A931" t="str">
        <f>IF('F2 - Données facturation'!$J$32=0,"Hide","")</f>
        <v>Hide</v>
      </c>
    </row>
    <row r="932" spans="1:8" x14ac:dyDescent="0.3">
      <c r="A932" t="str">
        <f>IF('F2 - Données facturation'!$J$32=0,"Hide","")</f>
        <v>Hide</v>
      </c>
      <c r="C932" s="751" t="s">
        <v>532</v>
      </c>
      <c r="D932" s="751"/>
      <c r="E932" s="751"/>
      <c r="F932" s="751"/>
      <c r="G932" s="751"/>
      <c r="H932" s="751"/>
    </row>
    <row r="933" spans="1:8" x14ac:dyDescent="0.3">
      <c r="A933" t="str">
        <f>IF('F2 - Données facturation'!$J$32=0,"Hide","")</f>
        <v>Hide</v>
      </c>
    </row>
    <row r="934" spans="1:8" x14ac:dyDescent="0.3">
      <c r="A934" t="str">
        <f>IF('F2 - Données facturation'!$J$32=0,"Hide","")</f>
        <v>Hide</v>
      </c>
      <c r="C934" s="178" t="s">
        <v>531</v>
      </c>
    </row>
    <row r="935" spans="1:8" x14ac:dyDescent="0.3">
      <c r="A935" t="str">
        <f>IF('F2 - Données facturation'!$J$32=0,"Hide","")</f>
        <v>Hide</v>
      </c>
      <c r="C935" s="432" t="s">
        <v>530</v>
      </c>
      <c r="D935" s="432"/>
      <c r="E935" s="433">
        <f>0.2*C930</f>
        <v>0</v>
      </c>
      <c r="F935" s="432" t="s">
        <v>529</v>
      </c>
      <c r="G935" s="432"/>
      <c r="H935" s="432"/>
    </row>
    <row r="936" spans="1:8" x14ac:dyDescent="0.3">
      <c r="A936" t="str">
        <f>IF('F2 - Données facturation'!$J$32=0,"Hide","")</f>
        <v>Hide</v>
      </c>
      <c r="C936" s="432" t="s">
        <v>528</v>
      </c>
      <c r="D936" s="432"/>
      <c r="E936" s="435">
        <f>E935*40</f>
        <v>0</v>
      </c>
      <c r="F936" s="432" t="s">
        <v>527</v>
      </c>
      <c r="G936" s="432"/>
      <c r="H936" s="432"/>
    </row>
    <row r="937" spans="1:8" x14ac:dyDescent="0.3">
      <c r="A937" t="str">
        <f>IF('F2 - Données facturation'!$J$32=0,"Hide","")</f>
        <v>Hide</v>
      </c>
      <c r="C937" s="432"/>
      <c r="D937" s="432"/>
      <c r="E937" s="432"/>
      <c r="F937" s="432"/>
      <c r="G937" s="432"/>
      <c r="H937" s="432"/>
    </row>
    <row r="938" spans="1:8" x14ac:dyDescent="0.3">
      <c r="A938" t="str">
        <f>IF('F2 - Données facturation'!$J$32=0,"Hide","")</f>
        <v>Hide</v>
      </c>
      <c r="C938" s="432" t="s">
        <v>526</v>
      </c>
      <c r="D938" s="432"/>
      <c r="E938" s="432"/>
      <c r="F938" s="432"/>
      <c r="G938" s="432"/>
      <c r="H938" s="432"/>
    </row>
    <row r="939" spans="1:8" x14ac:dyDescent="0.3">
      <c r="A939" t="str">
        <f>IF('F2 - Données facturation'!$J$32=0,"Hide","")</f>
        <v>Hide</v>
      </c>
      <c r="C939" s="1009" t="s">
        <v>525</v>
      </c>
      <c r="D939" s="1009"/>
      <c r="E939" s="1009"/>
      <c r="F939" s="1009"/>
      <c r="G939" s="1009"/>
      <c r="H939" s="1009"/>
    </row>
    <row r="940" spans="1:8" x14ac:dyDescent="0.3">
      <c r="A940" t="str">
        <f>IF('F2 - Données facturation'!$J$32=0,"Hide","")</f>
        <v>Hide</v>
      </c>
      <c r="C940" s="432"/>
      <c r="D940" s="432"/>
      <c r="E940" s="432"/>
      <c r="F940" s="432"/>
      <c r="G940" s="432"/>
      <c r="H940" s="432"/>
    </row>
    <row r="941" spans="1:8" x14ac:dyDescent="0.3">
      <c r="A941" t="str">
        <f>IF('F2 - Données facturation'!$J$32=0,"Hide","")</f>
        <v>Hide</v>
      </c>
      <c r="C941" s="435" t="s">
        <v>545</v>
      </c>
    </row>
    <row r="942" spans="1:8" x14ac:dyDescent="0.3">
      <c r="A942" t="str">
        <f>IF('F2 - Données facturation'!$J$32=0,"Hide","")</f>
        <v>Hide</v>
      </c>
      <c r="C942" s="431">
        <f>C930-E935</f>
        <v>0</v>
      </c>
      <c r="D942" t="s">
        <v>523</v>
      </c>
    </row>
    <row r="943" spans="1:8" x14ac:dyDescent="0.3">
      <c r="A943" t="str">
        <f>IF('F2 - Données facturation'!$J$32=0,"Hide","")</f>
        <v>Hide</v>
      </c>
    </row>
    <row r="944" spans="1:8" x14ac:dyDescent="0.3">
      <c r="A944" t="str">
        <f>IF('F2 - Données facturation'!$J$32=0,"Hide","")</f>
        <v>Hide</v>
      </c>
    </row>
    <row r="945" spans="1:5" x14ac:dyDescent="0.3">
      <c r="A945" t="str">
        <f>IF('F2 - Données facturation'!$J$32=0,"Hide","")</f>
        <v>Hide</v>
      </c>
    </row>
    <row r="946" spans="1:5" x14ac:dyDescent="0.3">
      <c r="A946" t="str">
        <f>IF('F2 - Données facturation'!$J$32=0,"Hide","")</f>
        <v>Hide</v>
      </c>
    </row>
    <row r="947" spans="1:5" x14ac:dyDescent="0.3">
      <c r="A947" t="str">
        <f>IF('F2 - Données facturation'!$J$32=0,"Hide","")</f>
        <v>Hide</v>
      </c>
    </row>
    <row r="948" spans="1:5" x14ac:dyDescent="0.3">
      <c r="A948" t="str">
        <f>IF('F2 - Données facturation'!$J$32=0,"Hide","")</f>
        <v>Hide</v>
      </c>
    </row>
    <row r="949" spans="1:5" x14ac:dyDescent="0.3">
      <c r="A949" t="str">
        <f>IF('F2 - Données facturation'!$J$32=0,"Hide","")</f>
        <v>Hide</v>
      </c>
    </row>
    <row r="950" spans="1:5" x14ac:dyDescent="0.3">
      <c r="A950" t="str">
        <f>IF('F2 - Données facturation'!$J$32=0,"Hide","")</f>
        <v>Hide</v>
      </c>
    </row>
    <row r="951" spans="1:5" x14ac:dyDescent="0.3">
      <c r="A951" t="str">
        <f>IF('F2 - Données facturation'!$J$32=0,"Hide","")</f>
        <v>Hide</v>
      </c>
    </row>
    <row r="952" spans="1:5" x14ac:dyDescent="0.3">
      <c r="A952" t="str">
        <f>IF('F2 - Données facturation'!$J$32=0,"Hide","")</f>
        <v>Hide</v>
      </c>
    </row>
    <row r="953" spans="1:5" x14ac:dyDescent="0.3">
      <c r="A953" t="str">
        <f>IF('F2 - Données facturation'!$J$32=0,"Hide","")</f>
        <v>Hide</v>
      </c>
      <c r="C953" s="432" t="s">
        <v>522</v>
      </c>
      <c r="D953" s="433">
        <f>C942</f>
        <v>0</v>
      </c>
      <c r="E953" s="432" t="s">
        <v>519</v>
      </c>
    </row>
    <row r="954" spans="1:5" x14ac:dyDescent="0.3">
      <c r="A954" t="str">
        <f>IF('F2 - Données facturation'!$J$32=0,"Hide","")</f>
        <v>Hide</v>
      </c>
      <c r="C954" s="433">
        <f>D953*0.2</f>
        <v>0</v>
      </c>
      <c r="D954" s="432" t="s">
        <v>521</v>
      </c>
      <c r="E954" s="432"/>
    </row>
    <row r="955" spans="1:5" x14ac:dyDescent="0.3">
      <c r="A955" t="str">
        <f>IF('F2 - Données facturation'!$J$32=0,"Hide","")</f>
        <v>Hide</v>
      </c>
      <c r="C955" s="432"/>
      <c r="D955" s="432"/>
      <c r="E955" s="432"/>
    </row>
    <row r="956" spans="1:5" x14ac:dyDescent="0.3">
      <c r="A956" t="str">
        <f>IF('F2 - Données facturation'!$J$32=0,"Hide","")</f>
        <v>Hide</v>
      </c>
      <c r="C956" s="432"/>
      <c r="D956" s="432"/>
      <c r="E956" s="432"/>
    </row>
    <row r="957" spans="1:5" x14ac:dyDescent="0.3">
      <c r="A957" t="str">
        <f>IF('F2 - Données facturation'!$J$32=0,"Hide","")</f>
        <v>Hide</v>
      </c>
      <c r="C957" s="432"/>
      <c r="D957" s="432"/>
      <c r="E957" s="432"/>
    </row>
    <row r="958" spans="1:5" x14ac:dyDescent="0.3">
      <c r="A958" t="str">
        <f>IF('F2 - Données facturation'!$J$32=0,"Hide","")</f>
        <v>Hide</v>
      </c>
      <c r="C958" s="432"/>
      <c r="D958" s="432"/>
      <c r="E958" s="432"/>
    </row>
    <row r="959" spans="1:5" x14ac:dyDescent="0.3">
      <c r="A959" t="str">
        <f>IF('F2 - Données facturation'!$J$32=0,"Hide","")</f>
        <v>Hide</v>
      </c>
      <c r="C959" s="434" t="s">
        <v>520</v>
      </c>
      <c r="D959" s="433">
        <f>C942</f>
        <v>0</v>
      </c>
      <c r="E959" s="432" t="s">
        <v>519</v>
      </c>
    </row>
    <row r="960" spans="1:5" x14ac:dyDescent="0.3">
      <c r="A960" t="str">
        <f>IF('F2 - Données facturation'!$J$32=0,"Hide","")</f>
        <v>Hide</v>
      </c>
      <c r="C960" s="431">
        <f>D959*0.4</f>
        <v>0</v>
      </c>
      <c r="D960" t="s">
        <v>518</v>
      </c>
    </row>
    <row r="961" spans="1:8" x14ac:dyDescent="0.3">
      <c r="A961" t="str">
        <f>IF('F2 - Données facturation'!$J$32=0,"Hide","")</f>
        <v>Hide</v>
      </c>
    </row>
    <row r="962" spans="1:8" x14ac:dyDescent="0.3">
      <c r="A962" t="str">
        <f>IF('F2 - Données facturation'!$J$32=0,"Hide","")</f>
        <v>Hide</v>
      </c>
    </row>
    <row r="963" spans="1:8" x14ac:dyDescent="0.3">
      <c r="A963" t="str">
        <f>IF('F2 - Données facturation'!$J$32=0,"Hide","")</f>
        <v>Hide</v>
      </c>
    </row>
    <row r="964" spans="1:8" x14ac:dyDescent="0.3">
      <c r="A964" t="str">
        <f>IF('F2 - Données facturation'!$J$32=0,"Hide","")</f>
        <v>Hide</v>
      </c>
      <c r="C964" s="1002" t="s">
        <v>517</v>
      </c>
      <c r="D964" s="1002"/>
      <c r="E964" s="1002"/>
      <c r="F964" s="431">
        <f>C942</f>
        <v>0</v>
      </c>
      <c r="G964" t="s">
        <v>56</v>
      </c>
    </row>
    <row r="965" spans="1:8" x14ac:dyDescent="0.3">
      <c r="A965" t="str">
        <f>IF('F2 - Données facturation'!$J$32=0,"Hide","")</f>
        <v>Hide</v>
      </c>
      <c r="C965" s="1002" t="s">
        <v>516</v>
      </c>
      <c r="D965" s="1002"/>
      <c r="E965" s="1002"/>
      <c r="F965" s="431">
        <f>C954</f>
        <v>0</v>
      </c>
      <c r="G965" t="s">
        <v>56</v>
      </c>
    </row>
    <row r="966" spans="1:8" x14ac:dyDescent="0.3">
      <c r="A966" t="str">
        <f>IF('F2 - Données facturation'!$J$32=0,"Hide","")</f>
        <v>Hide</v>
      </c>
      <c r="C966" s="1002" t="s">
        <v>515</v>
      </c>
      <c r="D966" s="1002"/>
      <c r="E966" s="1002"/>
      <c r="F966" s="431">
        <f>C960</f>
        <v>0</v>
      </c>
      <c r="G966" t="s">
        <v>56</v>
      </c>
    </row>
    <row r="967" spans="1:8" x14ac:dyDescent="0.3">
      <c r="A967" t="str">
        <f>IF('F2 - Données facturation'!$J$32=0,"Hide","")</f>
        <v>Hide</v>
      </c>
    </row>
    <row r="968" spans="1:8" ht="15.6" x14ac:dyDescent="0.3">
      <c r="A968" t="str">
        <f>IF('F2 - Données facturation'!$J$32=0,"Hide","")</f>
        <v>Hide</v>
      </c>
      <c r="C968" s="1003" t="s">
        <v>514</v>
      </c>
      <c r="D968" s="1002"/>
      <c r="E968" s="1002"/>
      <c r="F968" s="431">
        <f>F964-F965-F966</f>
        <v>0</v>
      </c>
      <c r="G968" t="s">
        <v>56</v>
      </c>
    </row>
    <row r="969" spans="1:8" x14ac:dyDescent="0.3">
      <c r="A969" t="str">
        <f>IF('F2 - Données facturation'!$J$32=0,"Hide","")</f>
        <v>Hide</v>
      </c>
      <c r="B969" s="437"/>
      <c r="D969" s="304"/>
      <c r="E969" s="304"/>
      <c r="F969" s="304"/>
      <c r="G969" s="304"/>
      <c r="H969" s="304"/>
    </row>
    <row r="970" spans="1:8" x14ac:dyDescent="0.3">
      <c r="A970" t="str">
        <f>IF('F2 - Données facturation'!$J$32=0,"Hide","")</f>
        <v>Hide</v>
      </c>
    </row>
    <row r="971" spans="1:8" x14ac:dyDescent="0.3">
      <c r="A971" t="str">
        <f>IF('F2 - Données facturation'!$J$32=0,"Hide","")</f>
        <v>Hide</v>
      </c>
      <c r="B971" s="437"/>
      <c r="D971" s="304"/>
      <c r="E971" s="304"/>
      <c r="F971" s="304"/>
      <c r="G971" s="304"/>
      <c r="H971" s="304"/>
    </row>
    <row r="972" spans="1:8" x14ac:dyDescent="0.3">
      <c r="A972" t="str">
        <f>IF('F2 - Données facturation'!$I$32=0,"Hide","")</f>
        <v>Hide</v>
      </c>
    </row>
    <row r="973" spans="1:8" x14ac:dyDescent="0.3">
      <c r="A973" t="str">
        <f>IF('F2 - Données facturation'!$I$32=0,"Hide","")</f>
        <v>Hide</v>
      </c>
    </row>
    <row r="974" spans="1:8" x14ac:dyDescent="0.3">
      <c r="A974" t="str">
        <f>IF('F2 - Données facturation'!$I$32=0,"Hide","")</f>
        <v>Hide</v>
      </c>
    </row>
    <row r="975" spans="1:8" x14ac:dyDescent="0.3">
      <c r="A975" t="str">
        <f>IF('F2 - Données facturation'!$I$32=0,"Hide","")</f>
        <v>Hide</v>
      </c>
    </row>
    <row r="976" spans="1:8" x14ac:dyDescent="0.3">
      <c r="A976" t="str">
        <f>IF('F2 - Données facturation'!$I$32=0,"Hide","")</f>
        <v>Hide</v>
      </c>
    </row>
    <row r="977" spans="1:8" x14ac:dyDescent="0.3">
      <c r="A977" t="str">
        <f>IF('F2 - Données facturation'!$I$32=0,"Hide","")</f>
        <v>Hide</v>
      </c>
      <c r="C977" s="1010" t="s">
        <v>544</v>
      </c>
      <c r="D977" s="1010"/>
      <c r="E977" s="1010"/>
      <c r="F977" s="1010"/>
      <c r="G977" s="1010"/>
      <c r="H977" s="1010"/>
    </row>
    <row r="978" spans="1:8" x14ac:dyDescent="0.3">
      <c r="A978" t="str">
        <f>IF('F2 - Données facturation'!$I$32=0,"Hide","")</f>
        <v>Hide</v>
      </c>
    </row>
    <row r="979" spans="1:8" x14ac:dyDescent="0.3">
      <c r="A979" t="str">
        <f>IF('F2 - Données facturation'!$I$32=0,"Hide","")</f>
        <v>Hide</v>
      </c>
      <c r="C979" s="436" t="s">
        <v>543</v>
      </c>
      <c r="D979" s="432"/>
    </row>
    <row r="980" spans="1:8" x14ac:dyDescent="0.3">
      <c r="A980" t="str">
        <f>IF('F2 - Données facturation'!$I$32=0,"Hide","")</f>
        <v>Hide</v>
      </c>
      <c r="C980" s="432"/>
      <c r="D980" s="432"/>
    </row>
    <row r="981" spans="1:8" x14ac:dyDescent="0.3">
      <c r="A981" t="str">
        <f>IF('F2 - Données facturation'!$I$32=0,"Hide","")</f>
        <v>Hide</v>
      </c>
      <c r="C981" s="432" t="s">
        <v>542</v>
      </c>
      <c r="D981" s="432"/>
      <c r="E981" s="431">
        <f>0.9*F579</f>
        <v>0</v>
      </c>
      <c r="F981" t="s">
        <v>533</v>
      </c>
    </row>
    <row r="982" spans="1:8" x14ac:dyDescent="0.3">
      <c r="A982" t="str">
        <f>IF('F2 - Données facturation'!$I$32=0,"Hide","")</f>
        <v>Hide</v>
      </c>
      <c r="C982" s="432"/>
      <c r="D982" s="432"/>
    </row>
    <row r="983" spans="1:8" x14ac:dyDescent="0.3">
      <c r="A983" t="str">
        <f>IF('F2 - Données facturation'!$I$32=0,"Hide","")</f>
        <v>Hide</v>
      </c>
      <c r="C983" s="436" t="s">
        <v>541</v>
      </c>
      <c r="D983" s="432"/>
    </row>
    <row r="984" spans="1:8" x14ac:dyDescent="0.3">
      <c r="A984" t="str">
        <f>IF('F2 - Données facturation'!$I$32=0,"Hide","")</f>
        <v>Hide</v>
      </c>
      <c r="C984" s="432" t="s">
        <v>540</v>
      </c>
      <c r="D984" s="432"/>
    </row>
    <row r="985" spans="1:8" x14ac:dyDescent="0.3">
      <c r="A985" t="str">
        <f>IF('F2 - Données facturation'!$I$32=0,"Hide","")</f>
        <v>Hide</v>
      </c>
      <c r="C985" s="432"/>
      <c r="D985" s="432"/>
    </row>
    <row r="986" spans="1:8" x14ac:dyDescent="0.3">
      <c r="A986" t="str">
        <f>IF('F2 - Données facturation'!$I$32=0,"Hide","")</f>
        <v>Hide</v>
      </c>
      <c r="C986" s="1011" t="s">
        <v>539</v>
      </c>
      <c r="D986" s="1011"/>
      <c r="E986" s="431">
        <f>0.11*F579</f>
        <v>0</v>
      </c>
      <c r="F986" t="s">
        <v>533</v>
      </c>
    </row>
    <row r="987" spans="1:8" x14ac:dyDescent="0.3">
      <c r="A987" t="str">
        <f>IF('F2 - Données facturation'!$I$32=0,"Hide","")</f>
        <v>Hide</v>
      </c>
      <c r="C987" s="432"/>
      <c r="D987" s="432"/>
    </row>
    <row r="988" spans="1:8" x14ac:dyDescent="0.3">
      <c r="A988" t="str">
        <f>IF('F2 - Données facturation'!$I$32=0,"Hide","")</f>
        <v>Hide</v>
      </c>
      <c r="C988" s="432" t="s">
        <v>538</v>
      </c>
      <c r="D988" s="432"/>
    </row>
    <row r="989" spans="1:8" x14ac:dyDescent="0.3">
      <c r="A989" t="str">
        <f>IF('F2 - Données facturation'!$I$32=0,"Hide","")</f>
        <v>Hide</v>
      </c>
      <c r="C989" s="432"/>
      <c r="D989" s="432"/>
    </row>
    <row r="990" spans="1:8" x14ac:dyDescent="0.3">
      <c r="A990" t="str">
        <f>IF('F2 - Données facturation'!$I$32=0,"Hide","")</f>
        <v>Hide</v>
      </c>
      <c r="C990" s="1011" t="s">
        <v>537</v>
      </c>
      <c r="D990" s="1011"/>
      <c r="E990" s="431">
        <f xml:space="preserve"> 0.22*F579</f>
        <v>0</v>
      </c>
      <c r="F990" t="s">
        <v>533</v>
      </c>
    </row>
    <row r="991" spans="1:8" x14ac:dyDescent="0.3">
      <c r="A991" t="str">
        <f>IF('F2 - Données facturation'!$I$32=0,"Hide","")</f>
        <v>Hide</v>
      </c>
    </row>
    <row r="992" spans="1:8" x14ac:dyDescent="0.3">
      <c r="A992" t="str">
        <f>IF('F2 - Données facturation'!$I$32=0,"Hide","")</f>
        <v>Hide</v>
      </c>
      <c r="C992" s="1006" t="s">
        <v>536</v>
      </c>
      <c r="D992" s="1006"/>
      <c r="E992" s="1006"/>
      <c r="F992" s="1006"/>
      <c r="G992" s="1006"/>
      <c r="H992" s="1006"/>
    </row>
    <row r="993" spans="1:8" x14ac:dyDescent="0.3">
      <c r="A993" t="str">
        <f>IF('F2 - Données facturation'!$I$32=0,"Hide","")</f>
        <v>Hide</v>
      </c>
    </row>
    <row r="994" spans="1:8" x14ac:dyDescent="0.3">
      <c r="A994" t="str">
        <f>IF('F2 - Données facturation'!$I$32=0,"Hide","")</f>
        <v>Hide</v>
      </c>
      <c r="C994" s="431">
        <f>E981+E986</f>
        <v>0</v>
      </c>
      <c r="D994" t="s">
        <v>533</v>
      </c>
    </row>
    <row r="995" spans="1:8" x14ac:dyDescent="0.3">
      <c r="A995" t="str">
        <f>IF('F2 - Données facturation'!$I$32=0,"Hide","")</f>
        <v>Hide</v>
      </c>
    </row>
    <row r="996" spans="1:8" x14ac:dyDescent="0.3">
      <c r="A996" t="str">
        <f>IF('F2 - Données facturation'!$I$32=0,"Hide","")</f>
        <v>Hide</v>
      </c>
      <c r="C996" s="1007" t="s">
        <v>535</v>
      </c>
      <c r="D996" s="1007"/>
      <c r="E996" s="1007"/>
      <c r="F996" s="1007"/>
      <c r="G996" s="1007"/>
      <c r="H996" s="1007"/>
    </row>
    <row r="997" spans="1:8" x14ac:dyDescent="0.3">
      <c r="A997" t="str">
        <f>IF('F2 - Données facturation'!$I$32=0,"Hide","")</f>
        <v>Hide</v>
      </c>
    </row>
    <row r="998" spans="1:8" x14ac:dyDescent="0.3">
      <c r="A998" t="str">
        <f>IF('F2 - Données facturation'!$I$32=0,"Hide","")</f>
        <v>Hide</v>
      </c>
      <c r="C998" s="431">
        <f>E981+E990</f>
        <v>0</v>
      </c>
      <c r="D998" t="s">
        <v>533</v>
      </c>
    </row>
    <row r="999" spans="1:8" x14ac:dyDescent="0.3">
      <c r="A999" t="str">
        <f>IF('F2 - Données facturation'!$I$32=0,"Hide","")</f>
        <v>Hide</v>
      </c>
    </row>
    <row r="1000" spans="1:8" x14ac:dyDescent="0.3">
      <c r="A1000" t="str">
        <f>IF('F2 - Données facturation'!$I$32=0,"Hide","")</f>
        <v>Hide</v>
      </c>
      <c r="C1000" s="1008" t="s">
        <v>534</v>
      </c>
      <c r="D1000" s="1008"/>
      <c r="E1000" s="1008"/>
      <c r="F1000" s="1008"/>
      <c r="G1000" s="1008"/>
      <c r="H1000" s="1008"/>
    </row>
    <row r="1001" spans="1:8" x14ac:dyDescent="0.3">
      <c r="A1001" t="str">
        <f>IF('F2 - Données facturation'!$I$32=0,"Hide","")</f>
        <v>Hide</v>
      </c>
    </row>
    <row r="1002" spans="1:8" x14ac:dyDescent="0.3">
      <c r="A1002" t="str">
        <f>IF('F2 - Données facturation'!$I$32=0,"Hide","")</f>
        <v>Hide</v>
      </c>
      <c r="C1002" s="431">
        <f>C994</f>
        <v>0</v>
      </c>
      <c r="D1002" s="1" t="s">
        <v>533</v>
      </c>
    </row>
    <row r="1003" spans="1:8" x14ac:dyDescent="0.3">
      <c r="A1003" t="str">
        <f>IF('F2 - Données facturation'!$I$32=0,"Hide","")</f>
        <v>Hide</v>
      </c>
    </row>
    <row r="1004" spans="1:8" x14ac:dyDescent="0.3">
      <c r="A1004" t="str">
        <f>IF('F2 - Données facturation'!$I$32=0,"Hide","")</f>
        <v>Hide</v>
      </c>
    </row>
    <row r="1005" spans="1:8" x14ac:dyDescent="0.3">
      <c r="A1005" t="str">
        <f>IF('F2 - Données facturation'!$I$32=0,"Hide","")</f>
        <v>Hide</v>
      </c>
      <c r="C1005" s="751" t="s">
        <v>532</v>
      </c>
      <c r="D1005" s="751"/>
      <c r="E1005" s="751"/>
      <c r="F1005" s="751"/>
      <c r="G1005" s="751"/>
      <c r="H1005" s="751"/>
    </row>
    <row r="1006" spans="1:8" x14ac:dyDescent="0.3">
      <c r="A1006" t="str">
        <f>IF('F2 - Données facturation'!$I$32=0,"Hide","")</f>
        <v>Hide</v>
      </c>
    </row>
    <row r="1007" spans="1:8" x14ac:dyDescent="0.3">
      <c r="A1007" t="str">
        <f>IF('F2 - Données facturation'!$I$32=0,"Hide","")</f>
        <v>Hide</v>
      </c>
      <c r="C1007" s="178" t="s">
        <v>531</v>
      </c>
    </row>
    <row r="1008" spans="1:8" x14ac:dyDescent="0.3">
      <c r="A1008" t="str">
        <f>IF('F2 - Données facturation'!$I$32=0,"Hide","")</f>
        <v>Hide</v>
      </c>
      <c r="C1008" s="432" t="s">
        <v>530</v>
      </c>
      <c r="D1008" s="432"/>
      <c r="E1008" s="433">
        <f>0.2*C1002</f>
        <v>0</v>
      </c>
      <c r="F1008" s="432" t="s">
        <v>529</v>
      </c>
      <c r="G1008" s="432"/>
      <c r="H1008" s="432"/>
    </row>
    <row r="1009" spans="1:8" x14ac:dyDescent="0.3">
      <c r="A1009" t="str">
        <f>IF('F2 - Données facturation'!$I$32=0,"Hide","")</f>
        <v>Hide</v>
      </c>
      <c r="C1009" s="432" t="s">
        <v>528</v>
      </c>
      <c r="D1009" s="432"/>
      <c r="E1009" s="435">
        <f>E1008*40</f>
        <v>0</v>
      </c>
      <c r="F1009" s="432" t="s">
        <v>527</v>
      </c>
      <c r="G1009" s="432"/>
      <c r="H1009" s="432"/>
    </row>
    <row r="1010" spans="1:8" x14ac:dyDescent="0.3">
      <c r="A1010" t="str">
        <f>IF('F2 - Données facturation'!$I$32=0,"Hide","")</f>
        <v>Hide</v>
      </c>
      <c r="C1010" s="432"/>
      <c r="D1010" s="432"/>
      <c r="E1010" s="432"/>
      <c r="F1010" s="432"/>
      <c r="G1010" s="432"/>
      <c r="H1010" s="432"/>
    </row>
    <row r="1011" spans="1:8" x14ac:dyDescent="0.3">
      <c r="A1011" t="str">
        <f>IF('F2 - Données facturation'!$I$32=0,"Hide","")</f>
        <v>Hide</v>
      </c>
      <c r="C1011" s="432"/>
      <c r="D1011" s="432"/>
      <c r="E1011" s="432"/>
      <c r="F1011" s="432"/>
      <c r="G1011" s="432"/>
      <c r="H1011" s="432"/>
    </row>
    <row r="1012" spans="1:8" x14ac:dyDescent="0.3">
      <c r="A1012" t="str">
        <f>IF('F2 - Données facturation'!$I$32=0,"Hide","")</f>
        <v>Hide</v>
      </c>
      <c r="C1012" s="432"/>
      <c r="D1012" s="432"/>
      <c r="E1012" s="432"/>
      <c r="F1012" s="432"/>
      <c r="G1012" s="432"/>
      <c r="H1012" s="432"/>
    </row>
    <row r="1013" spans="1:8" x14ac:dyDescent="0.3">
      <c r="A1013" t="str">
        <f>IF('F2 - Données facturation'!$I$32=0,"Hide","")</f>
        <v>Hide</v>
      </c>
      <c r="C1013" s="432" t="s">
        <v>526</v>
      </c>
      <c r="D1013" s="432"/>
      <c r="E1013" s="432"/>
      <c r="F1013" s="432"/>
      <c r="G1013" s="432"/>
      <c r="H1013" s="432"/>
    </row>
    <row r="1014" spans="1:8" x14ac:dyDescent="0.3">
      <c r="A1014" t="str">
        <f>IF('F2 - Données facturation'!$I$32=0,"Hide","")</f>
        <v>Hide</v>
      </c>
      <c r="C1014" s="1009" t="s">
        <v>525</v>
      </c>
      <c r="D1014" s="1009"/>
      <c r="E1014" s="1009"/>
      <c r="F1014" s="1009"/>
      <c r="G1014" s="1009"/>
      <c r="H1014" s="1009"/>
    </row>
    <row r="1015" spans="1:8" x14ac:dyDescent="0.3">
      <c r="A1015" t="str">
        <f>IF('F2 - Données facturation'!$I$32=0,"Hide","")</f>
        <v>Hide</v>
      </c>
      <c r="C1015" s="432"/>
      <c r="D1015" s="432"/>
      <c r="E1015" s="432"/>
      <c r="F1015" s="432"/>
      <c r="G1015" s="432"/>
      <c r="H1015" s="432"/>
    </row>
    <row r="1016" spans="1:8" x14ac:dyDescent="0.3">
      <c r="A1016" t="str">
        <f>IF('F2 - Données facturation'!$I$32=0,"Hide","")</f>
        <v>Hide</v>
      </c>
      <c r="C1016" s="435" t="s">
        <v>524</v>
      </c>
      <c r="D1016" s="432"/>
      <c r="E1016" s="432"/>
      <c r="F1016" s="432"/>
      <c r="G1016" s="432"/>
      <c r="H1016" s="432"/>
    </row>
    <row r="1017" spans="1:8" x14ac:dyDescent="0.3">
      <c r="A1017" t="str">
        <f>IF('F2 - Données facturation'!$I$32=0,"Hide","")</f>
        <v>Hide</v>
      </c>
      <c r="C1017" s="431">
        <f>C1002-E1008</f>
        <v>0</v>
      </c>
      <c r="D1017" t="s">
        <v>523</v>
      </c>
    </row>
    <row r="1018" spans="1:8" x14ac:dyDescent="0.3">
      <c r="A1018" t="str">
        <f>IF('F2 - Données facturation'!$I$32=0,"Hide","")</f>
        <v>Hide</v>
      </c>
    </row>
    <row r="1019" spans="1:8" x14ac:dyDescent="0.3">
      <c r="A1019" t="str">
        <f>IF('F2 - Données facturation'!$I$32=0,"Hide","")</f>
        <v>Hide</v>
      </c>
    </row>
    <row r="1020" spans="1:8" x14ac:dyDescent="0.3">
      <c r="A1020" t="str">
        <f>IF('F2 - Données facturation'!$I$32=0,"Hide","")</f>
        <v>Hide</v>
      </c>
    </row>
    <row r="1021" spans="1:8" x14ac:dyDescent="0.3">
      <c r="A1021" t="str">
        <f>IF('F2 - Données facturation'!$I$32=0,"Hide","")</f>
        <v>Hide</v>
      </c>
    </row>
    <row r="1022" spans="1:8" x14ac:dyDescent="0.3">
      <c r="A1022" t="str">
        <f>IF('F2 - Données facturation'!$I$32=0,"Hide","")</f>
        <v>Hide</v>
      </c>
    </row>
    <row r="1023" spans="1:8" x14ac:dyDescent="0.3">
      <c r="A1023" t="str">
        <f>IF('F2 - Données facturation'!$I$32=0,"Hide","")</f>
        <v>Hide</v>
      </c>
    </row>
    <row r="1024" spans="1:8" x14ac:dyDescent="0.3">
      <c r="A1024" t="str">
        <f>IF('F2 - Données facturation'!$I$32=0,"Hide","")</f>
        <v>Hide</v>
      </c>
    </row>
    <row r="1025" spans="1:5" x14ac:dyDescent="0.3">
      <c r="A1025" t="str">
        <f>IF('F2 - Données facturation'!$I$32=0,"Hide","")</f>
        <v>Hide</v>
      </c>
    </row>
    <row r="1026" spans="1:5" x14ac:dyDescent="0.3">
      <c r="A1026" t="str">
        <f>IF('F2 - Données facturation'!$I$32=0,"Hide","")</f>
        <v>Hide</v>
      </c>
    </row>
    <row r="1027" spans="1:5" x14ac:dyDescent="0.3">
      <c r="A1027" t="str">
        <f>IF('F2 - Données facturation'!$I$32=0,"Hide","")</f>
        <v>Hide</v>
      </c>
    </row>
    <row r="1028" spans="1:5" x14ac:dyDescent="0.3">
      <c r="A1028" t="str">
        <f>IF('F2 - Données facturation'!$I$32=0,"Hide","")</f>
        <v>Hide</v>
      </c>
      <c r="C1028" s="432" t="s">
        <v>522</v>
      </c>
      <c r="D1028" s="431">
        <f>C1017</f>
        <v>0</v>
      </c>
      <c r="E1028" s="432" t="s">
        <v>519</v>
      </c>
    </row>
    <row r="1029" spans="1:5" x14ac:dyDescent="0.3">
      <c r="A1029" t="str">
        <f>IF('F2 - Données facturation'!$I$32=0,"Hide","")</f>
        <v>Hide</v>
      </c>
      <c r="C1029" s="431">
        <f>D1028*0.2</f>
        <v>0</v>
      </c>
      <c r="D1029" t="s">
        <v>521</v>
      </c>
    </row>
    <row r="1030" spans="1:5" x14ac:dyDescent="0.3">
      <c r="A1030" t="str">
        <f>IF('F2 - Données facturation'!$I$32=0,"Hide","")</f>
        <v>Hide</v>
      </c>
    </row>
    <row r="1031" spans="1:5" x14ac:dyDescent="0.3">
      <c r="A1031" t="str">
        <f>IF('F2 - Données facturation'!$I$32=0,"Hide","")</f>
        <v>Hide</v>
      </c>
    </row>
    <row r="1032" spans="1:5" x14ac:dyDescent="0.3">
      <c r="A1032" t="str">
        <f>IF('F2 - Données facturation'!$I$32=0,"Hide","")</f>
        <v>Hide</v>
      </c>
    </row>
    <row r="1033" spans="1:5" x14ac:dyDescent="0.3">
      <c r="A1033" t="str">
        <f>IF('F2 - Données facturation'!$I$32=0,"Hide","")</f>
        <v>Hide</v>
      </c>
    </row>
    <row r="1034" spans="1:5" x14ac:dyDescent="0.3">
      <c r="A1034" t="str">
        <f>IF('F2 - Données facturation'!$I$32=0,"Hide","")</f>
        <v>Hide</v>
      </c>
    </row>
    <row r="1035" spans="1:5" x14ac:dyDescent="0.3">
      <c r="A1035" t="str">
        <f>IF('F2 - Données facturation'!$I$32=0,"Hide","")</f>
        <v>Hide</v>
      </c>
    </row>
    <row r="1036" spans="1:5" x14ac:dyDescent="0.3">
      <c r="A1036" t="str">
        <f>IF('F2 - Données facturation'!$I$32=0,"Hide","")</f>
        <v>Hide</v>
      </c>
    </row>
    <row r="1037" spans="1:5" x14ac:dyDescent="0.3">
      <c r="A1037" t="str">
        <f>IF('F2 - Données facturation'!$I$32=0,"Hide","")</f>
        <v>Hide</v>
      </c>
      <c r="C1037" s="434" t="s">
        <v>520</v>
      </c>
      <c r="D1037" s="433">
        <f>C1017</f>
        <v>0</v>
      </c>
      <c r="E1037" s="432" t="s">
        <v>519</v>
      </c>
    </row>
    <row r="1038" spans="1:5" x14ac:dyDescent="0.3">
      <c r="A1038" t="str">
        <f>IF('F2 - Données facturation'!$I$32=0,"Hide","")</f>
        <v>Hide</v>
      </c>
      <c r="C1038" s="431">
        <f>D1037*0.4</f>
        <v>0</v>
      </c>
      <c r="D1038" t="s">
        <v>518</v>
      </c>
    </row>
    <row r="1039" spans="1:5" x14ac:dyDescent="0.3">
      <c r="A1039" t="str">
        <f>IF('F2 - Données facturation'!$I$32=0,"Hide","")</f>
        <v>Hide</v>
      </c>
    </row>
    <row r="1040" spans="1:5" x14ac:dyDescent="0.3">
      <c r="A1040" t="str">
        <f>IF('F2 - Données facturation'!$I$32=0,"Hide","")</f>
        <v>Hide</v>
      </c>
    </row>
    <row r="1041" spans="1:10" x14ac:dyDescent="0.3">
      <c r="A1041" t="str">
        <f>IF('F2 - Données facturation'!$I$32=0,"Hide","")</f>
        <v>Hide</v>
      </c>
    </row>
    <row r="1042" spans="1:10" x14ac:dyDescent="0.3">
      <c r="A1042" t="str">
        <f>IF('F2 - Données facturation'!$I$32=0,"Hide","")</f>
        <v>Hide</v>
      </c>
      <c r="C1042" s="1002" t="s">
        <v>517</v>
      </c>
      <c r="D1042" s="1002"/>
      <c r="E1042" s="1002"/>
      <c r="F1042" s="431">
        <f>C1017</f>
        <v>0</v>
      </c>
      <c r="G1042" t="s">
        <v>56</v>
      </c>
    </row>
    <row r="1043" spans="1:10" x14ac:dyDescent="0.3">
      <c r="A1043" t="str">
        <f>IF('F2 - Données facturation'!$I$32=0,"Hide","")</f>
        <v>Hide</v>
      </c>
      <c r="C1043" s="1002" t="s">
        <v>516</v>
      </c>
      <c r="D1043" s="1002"/>
      <c r="E1043" s="1002"/>
      <c r="F1043" s="431">
        <f>C1029</f>
        <v>0</v>
      </c>
      <c r="G1043" t="s">
        <v>56</v>
      </c>
    </row>
    <row r="1044" spans="1:10" x14ac:dyDescent="0.3">
      <c r="A1044" t="str">
        <f>IF('F2 - Données facturation'!$I$32=0,"Hide","")</f>
        <v>Hide</v>
      </c>
      <c r="C1044" s="1002" t="s">
        <v>515</v>
      </c>
      <c r="D1044" s="1002"/>
      <c r="E1044" s="1002"/>
      <c r="F1044" s="431">
        <f>C1038</f>
        <v>0</v>
      </c>
      <c r="G1044" t="s">
        <v>56</v>
      </c>
    </row>
    <row r="1045" spans="1:10" x14ac:dyDescent="0.3">
      <c r="A1045" t="str">
        <f>IF('F2 - Données facturation'!$I$32=0,"Hide","")</f>
        <v>Hide</v>
      </c>
    </row>
    <row r="1046" spans="1:10" ht="15.6" x14ac:dyDescent="0.3">
      <c r="A1046" t="str">
        <f>IF('F2 - Données facturation'!$I$32=0,"Hide","")</f>
        <v>Hide</v>
      </c>
      <c r="C1046" s="1003" t="s">
        <v>514</v>
      </c>
      <c r="D1046" s="1002"/>
      <c r="E1046" s="1002"/>
      <c r="F1046" s="431">
        <f>F1042-F1043-F1044</f>
        <v>0</v>
      </c>
      <c r="G1046" t="s">
        <v>56</v>
      </c>
    </row>
    <row r="1047" spans="1:10" x14ac:dyDescent="0.3">
      <c r="A1047" t="str">
        <f>IF('F2 - Données facturation'!$I$32=0,"Hide","")</f>
        <v>Hide</v>
      </c>
    </row>
    <row r="1048" spans="1:10" x14ac:dyDescent="0.3">
      <c r="A1048" t="str">
        <f>IF('F2 - Données facturation'!$I$32=0,"Hide","")</f>
        <v>Hide</v>
      </c>
    </row>
    <row r="1049" spans="1:10" x14ac:dyDescent="0.3">
      <c r="A1049" t="str">
        <f>IF('F2 - Données facturation'!$I$32=0,"Hide","")</f>
        <v>Hide</v>
      </c>
    </row>
    <row r="1050" spans="1:10" x14ac:dyDescent="0.3">
      <c r="A1050" t="str">
        <f>IF('F2 - Données facturation'!$N$32=0,"Hide","")</f>
        <v>Hide</v>
      </c>
    </row>
    <row r="1051" spans="1:10" x14ac:dyDescent="0.3">
      <c r="A1051" t="str">
        <f>IF('F2 - Données facturation'!$N$32=0,"Hide","")</f>
        <v>Hide</v>
      </c>
      <c r="J1051" s="168"/>
    </row>
    <row r="1052" spans="1:10" x14ac:dyDescent="0.3">
      <c r="A1052" t="str">
        <f>IF('F2 - Données facturation'!$N$32=0,"Hide","")</f>
        <v>Hide</v>
      </c>
    </row>
    <row r="1053" spans="1:10" x14ac:dyDescent="0.3">
      <c r="A1053" t="str">
        <f>IF('F2 - Données facturation'!$N$32=0,"Hide","")</f>
        <v>Hide</v>
      </c>
    </row>
    <row r="1054" spans="1:10" x14ac:dyDescent="0.3">
      <c r="A1054" t="str">
        <f>IF('F2 - Données facturation'!$N$32=0,"Hide","")</f>
        <v>Hide</v>
      </c>
      <c r="C1054" t="s">
        <v>513</v>
      </c>
    </row>
    <row r="1055" spans="1:10" x14ac:dyDescent="0.3">
      <c r="A1055" t="str">
        <f>IF('F2 - Données facturation'!$N$32=0,"Hide","")</f>
        <v>Hide</v>
      </c>
    </row>
    <row r="1056" spans="1:10" ht="29.4" thickBot="1" x14ac:dyDescent="0.35">
      <c r="A1056" t="str">
        <f>IF('F2 - Données facturation'!$N$32=0,"Hide","")</f>
        <v>Hide</v>
      </c>
      <c r="C1056" s="429" t="s">
        <v>500</v>
      </c>
      <c r="D1056" s="429" t="s">
        <v>504</v>
      </c>
      <c r="E1056" s="429" t="s">
        <v>512</v>
      </c>
      <c r="F1056" s="429" t="s">
        <v>502</v>
      </c>
      <c r="G1056" s="429" t="s">
        <v>501</v>
      </c>
      <c r="H1056" s="430" t="s">
        <v>57</v>
      </c>
      <c r="I1056" s="429"/>
    </row>
    <row r="1057" spans="1:9" ht="15" thickBot="1" x14ac:dyDescent="0.35">
      <c r="A1057" t="str">
        <f>IF('F2 - Données facturation'!$N$32=0,"Hide","")</f>
        <v>Hide</v>
      </c>
      <c r="B1057" s="427" t="s">
        <v>511</v>
      </c>
      <c r="C1057" s="428">
        <f>C611</f>
        <v>0</v>
      </c>
      <c r="D1057" s="428">
        <f>C643</f>
        <v>0</v>
      </c>
      <c r="E1057" s="428">
        <f>F651</f>
        <v>0</v>
      </c>
      <c r="F1057" s="428">
        <f>F648</f>
        <v>0</v>
      </c>
      <c r="G1057" s="428">
        <f>E617</f>
        <v>0</v>
      </c>
      <c r="H1057" s="428">
        <f>SUM(D1057:G1057)</f>
        <v>0</v>
      </c>
      <c r="I1057" t="str">
        <f>IF(C1057=H1057,"OK","NOT OK")</f>
        <v>OK</v>
      </c>
    </row>
    <row r="1058" spans="1:9" ht="15" thickBot="1" x14ac:dyDescent="0.35">
      <c r="A1058" t="str">
        <f>IF('F2 - Données facturation'!$N$32=0,"Hide","")</f>
        <v>Hide</v>
      </c>
      <c r="B1058" s="427" t="s">
        <v>510</v>
      </c>
      <c r="C1058" s="428">
        <f>C682</f>
        <v>0</v>
      </c>
      <c r="D1058" s="428">
        <f>F720</f>
        <v>0</v>
      </c>
      <c r="E1058" s="428">
        <f>F722</f>
        <v>0</v>
      </c>
      <c r="F1058" s="428">
        <f>F719</f>
        <v>0</v>
      </c>
      <c r="G1058" s="428">
        <f>E688</f>
        <v>0</v>
      </c>
      <c r="H1058" s="428">
        <f t="shared" ref="H1058:H1063" si="5">SUM(D1058:G1058)</f>
        <v>0</v>
      </c>
      <c r="I1058" t="str">
        <f t="shared" ref="I1058:I1063" si="6">IF(C1058=H1058,"OK","NOT OK")</f>
        <v>OK</v>
      </c>
    </row>
    <row r="1059" spans="1:9" ht="15" thickBot="1" x14ac:dyDescent="0.35">
      <c r="A1059" t="str">
        <f>IF('F2 - Données facturation'!$N$32=0,"Hide","")</f>
        <v>Hide</v>
      </c>
      <c r="B1059" s="427" t="s">
        <v>509</v>
      </c>
      <c r="C1059" s="428">
        <f>C738</f>
        <v>0</v>
      </c>
      <c r="D1059" s="428">
        <f>F780</f>
        <v>0</v>
      </c>
      <c r="E1059" s="428">
        <f>F782</f>
        <v>0</v>
      </c>
      <c r="F1059" s="428">
        <f>F779</f>
        <v>0</v>
      </c>
      <c r="G1059" s="428">
        <f>E744</f>
        <v>0</v>
      </c>
      <c r="H1059" s="428">
        <f t="shared" si="5"/>
        <v>0</v>
      </c>
      <c r="I1059" t="str">
        <f t="shared" si="6"/>
        <v>OK</v>
      </c>
    </row>
    <row r="1060" spans="1:9" ht="15" thickBot="1" x14ac:dyDescent="0.35">
      <c r="A1060" t="str">
        <f>IF('F2 - Données facturation'!$N$32=0,"Hide","")</f>
        <v>Hide</v>
      </c>
      <c r="B1060" s="427" t="s">
        <v>508</v>
      </c>
      <c r="C1060" s="428">
        <f>C813</f>
        <v>0</v>
      </c>
      <c r="D1060" s="428">
        <f>F855</f>
        <v>0</v>
      </c>
      <c r="E1060" s="428">
        <f>F857</f>
        <v>0</v>
      </c>
      <c r="F1060" s="428">
        <f>F854</f>
        <v>0</v>
      </c>
      <c r="G1060" s="428">
        <f>E819</f>
        <v>0</v>
      </c>
      <c r="H1060" s="428">
        <f>SUM(D1060:G1060)</f>
        <v>0</v>
      </c>
      <c r="I1060" t="str">
        <f t="shared" si="6"/>
        <v>OK</v>
      </c>
    </row>
    <row r="1061" spans="1:9" ht="15" thickBot="1" x14ac:dyDescent="0.35">
      <c r="A1061" t="str">
        <f>IF('F2 - Données facturation'!$N$32=0,"Hide","")</f>
        <v>Hide</v>
      </c>
      <c r="B1061" s="427" t="s">
        <v>507</v>
      </c>
      <c r="C1061" s="428">
        <f>C872</f>
        <v>0</v>
      </c>
      <c r="D1061" s="428">
        <f>F914</f>
        <v>0</v>
      </c>
      <c r="E1061" s="428">
        <f>F916</f>
        <v>0</v>
      </c>
      <c r="F1061" s="428">
        <f>F913</f>
        <v>0</v>
      </c>
      <c r="G1061" s="428">
        <f>E878</f>
        <v>0</v>
      </c>
      <c r="H1061" s="428">
        <f t="shared" si="5"/>
        <v>0</v>
      </c>
      <c r="I1061" t="str">
        <f t="shared" si="6"/>
        <v>OK</v>
      </c>
    </row>
    <row r="1062" spans="1:9" ht="15" thickBot="1" x14ac:dyDescent="0.35">
      <c r="A1062" t="str">
        <f>IF('F2 - Données facturation'!$N$32=0,"Hide","")</f>
        <v>Hide</v>
      </c>
      <c r="B1062" s="427" t="s">
        <v>506</v>
      </c>
      <c r="C1062" s="428">
        <f>C930</f>
        <v>0</v>
      </c>
      <c r="D1062" s="428">
        <f>F966</f>
        <v>0</v>
      </c>
      <c r="E1062" s="428">
        <f>F968</f>
        <v>0</v>
      </c>
      <c r="F1062" s="428">
        <f>F965</f>
        <v>0</v>
      </c>
      <c r="G1062" s="428">
        <f>E935</f>
        <v>0</v>
      </c>
      <c r="H1062" s="428">
        <f t="shared" si="5"/>
        <v>0</v>
      </c>
      <c r="I1062" t="str">
        <f t="shared" si="6"/>
        <v>OK</v>
      </c>
    </row>
    <row r="1063" spans="1:9" ht="15" thickBot="1" x14ac:dyDescent="0.35">
      <c r="A1063" t="str">
        <f>IF('F2 - Données facturation'!$N$32=0,"Hide","")</f>
        <v>Hide</v>
      </c>
      <c r="B1063" s="427" t="s">
        <v>505</v>
      </c>
      <c r="C1063" s="428">
        <f>C1002</f>
        <v>0</v>
      </c>
      <c r="D1063" s="428">
        <f>F1044</f>
        <v>0</v>
      </c>
      <c r="E1063" s="428">
        <f>F1046</f>
        <v>0</v>
      </c>
      <c r="F1063" s="428">
        <f>F1043</f>
        <v>0</v>
      </c>
      <c r="G1063" s="428">
        <f>E1008</f>
        <v>0</v>
      </c>
      <c r="H1063" s="428">
        <f t="shared" si="5"/>
        <v>0</v>
      </c>
      <c r="I1063" t="str">
        <f t="shared" si="6"/>
        <v>OK</v>
      </c>
    </row>
    <row r="1064" spans="1:9" ht="15" thickBot="1" x14ac:dyDescent="0.35">
      <c r="A1064" t="str">
        <f>IF('F2 - Données facturation'!$N$32=0,"Hide","")</f>
        <v>Hide</v>
      </c>
      <c r="C1064" s="412">
        <f>SUM(C1057:C1063)</f>
        <v>0</v>
      </c>
      <c r="D1064" s="412">
        <f t="shared" ref="D1064:H1064" si="7">SUM(D1057:D1063)</f>
        <v>0</v>
      </c>
      <c r="E1064" s="412">
        <f t="shared" si="7"/>
        <v>0</v>
      </c>
      <c r="F1064" s="412">
        <f t="shared" si="7"/>
        <v>0</v>
      </c>
      <c r="G1064" s="412">
        <f t="shared" si="7"/>
        <v>0</v>
      </c>
      <c r="H1064" s="412">
        <f t="shared" si="7"/>
        <v>0</v>
      </c>
      <c r="I1064" t="str">
        <f>IF(C1064=H1064,"OK","NOT OK")</f>
        <v>OK</v>
      </c>
    </row>
    <row r="1065" spans="1:9" x14ac:dyDescent="0.3">
      <c r="A1065" t="str">
        <f>IF('F2 - Données facturation'!$N$32=0,"Hide","")</f>
        <v>Hide</v>
      </c>
      <c r="B1065" s="427"/>
      <c r="C1065" s="426"/>
    </row>
    <row r="1066" spans="1:9" x14ac:dyDescent="0.3">
      <c r="A1066" t="str">
        <f>IF('F2 - Données facturation'!$N$32=0,"Hide","")</f>
        <v>Hide</v>
      </c>
      <c r="C1066" s="981" t="s">
        <v>731</v>
      </c>
      <c r="D1066" s="981"/>
      <c r="E1066" s="981"/>
      <c r="F1066" s="981"/>
      <c r="G1066" s="981"/>
      <c r="H1066" s="981"/>
    </row>
    <row r="1067" spans="1:9" x14ac:dyDescent="0.3">
      <c r="A1067" t="str">
        <f>IF('F2 - Données facturation'!$N$32=0,"Hide","")</f>
        <v>Hide</v>
      </c>
    </row>
    <row r="1068" spans="1:9" ht="29.4" thickBot="1" x14ac:dyDescent="0.35">
      <c r="A1068" t="str">
        <f>IF('F2 - Données facturation'!$N$32=0,"Hide","")</f>
        <v>Hide</v>
      </c>
      <c r="D1068" s="425" t="s">
        <v>504</v>
      </c>
      <c r="E1068" s="425" t="s">
        <v>503</v>
      </c>
      <c r="F1068" s="425" t="s">
        <v>502</v>
      </c>
      <c r="G1068" s="425" t="s">
        <v>501</v>
      </c>
      <c r="H1068" s="425" t="s">
        <v>500</v>
      </c>
    </row>
    <row r="1069" spans="1:9" ht="15" thickBot="1" x14ac:dyDescent="0.35">
      <c r="A1069" t="str">
        <f>IF('F2 - Données facturation'!$N$32=0,"Hide","")</f>
        <v>Hide</v>
      </c>
      <c r="D1069" s="424">
        <f ca="1">D542</f>
        <v>0</v>
      </c>
      <c r="E1069" s="424">
        <f ca="1">E542</f>
        <v>0</v>
      </c>
      <c r="F1069" s="424">
        <f ca="1">F542</f>
        <v>0</v>
      </c>
      <c r="G1069" s="424">
        <f ca="1">G542</f>
        <v>0</v>
      </c>
      <c r="H1069" s="424">
        <f ca="1">SUM(D1069:G1069)</f>
        <v>0</v>
      </c>
    </row>
    <row r="1070" spans="1:9" x14ac:dyDescent="0.3">
      <c r="A1070" t="str">
        <f>IF('F2 - Données facturation'!$N$32=0,"Hide","")</f>
        <v>Hide</v>
      </c>
      <c r="D1070" s="423" t="str">
        <f ca="1">IF(D1069&lt;D1064,"NOT OK","OK")</f>
        <v>OK</v>
      </c>
      <c r="E1070" s="423" t="str">
        <f ca="1">IF(E1069+D1069&lt;E1064+D1064,"NOT OK","OK")</f>
        <v>OK</v>
      </c>
      <c r="F1070" s="423" t="str">
        <f ca="1">IF(F1069+E1069+D1069&lt;F1064+E1064+D1064,"NOT OK","OK")</f>
        <v>OK</v>
      </c>
      <c r="G1070" s="423" t="str">
        <f ca="1">IF(G1069+F1069+E1069+D1069&lt;G1064+F1064+E1064+D1064,"NOT OK","OK")</f>
        <v>OK</v>
      </c>
      <c r="H1070" s="422" t="str">
        <f ca="1">IF(H1069&lt;H1064,"NOT OK","OK")</f>
        <v>OK</v>
      </c>
    </row>
    <row r="1071" spans="1:9" x14ac:dyDescent="0.3">
      <c r="A1071" t="str">
        <f>IF('F2 - Données facturation'!$N$32=0,"Hide","")</f>
        <v>Hide</v>
      </c>
      <c r="C1071" s="416"/>
      <c r="D1071" s="415"/>
      <c r="E1071" s="231"/>
      <c r="F1071" s="231"/>
      <c r="G1071" s="231"/>
      <c r="H1071" s="231"/>
    </row>
    <row r="1072" spans="1:9" x14ac:dyDescent="0.3">
      <c r="A1072" t="str">
        <f>IF('F2 - Données facturation'!$N$32=0,"Hide","")</f>
        <v>Hide</v>
      </c>
      <c r="C1072" s="416"/>
      <c r="D1072" s="415"/>
      <c r="E1072" s="231"/>
      <c r="F1072" s="231"/>
      <c r="G1072" s="231"/>
      <c r="H1072" s="231"/>
    </row>
    <row r="1073" spans="1:8" ht="15" thickBot="1" x14ac:dyDescent="0.35">
      <c r="A1073" t="str">
        <f>IF('F2 - Données facturation'!$N$32=0,"Hide","")</f>
        <v>Hide</v>
      </c>
      <c r="C1073" s="1004" t="s">
        <v>499</v>
      </c>
      <c r="D1073" s="1005"/>
      <c r="E1073" s="1005"/>
      <c r="F1073" s="1005"/>
      <c r="G1073" s="1005"/>
      <c r="H1073" s="1005"/>
    </row>
    <row r="1074" spans="1:8" ht="15" thickBot="1" x14ac:dyDescent="0.35">
      <c r="A1074" t="str">
        <f>IF('F2 - Données facturation'!$N$32=0,"Hide","")</f>
        <v>Hide</v>
      </c>
      <c r="C1074" s="420" t="s">
        <v>498</v>
      </c>
      <c r="D1074" s="417"/>
      <c r="E1074" s="412"/>
      <c r="F1074" s="421" t="str">
        <f>IF(C573="Psycho","TO BE VERIFIED","N/A")</f>
        <v>N/A</v>
      </c>
      <c r="G1074" s="417"/>
      <c r="H1074" s="417"/>
    </row>
    <row r="1075" spans="1:8" x14ac:dyDescent="0.3">
      <c r="A1075" t="str">
        <f>IF('F2 - Données facturation'!$N$32=0,"Hide","")</f>
        <v>Hide</v>
      </c>
      <c r="C1075" s="420"/>
      <c r="D1075" s="417"/>
      <c r="E1075" s="419"/>
      <c r="F1075" s="418"/>
      <c r="G1075" s="417"/>
      <c r="H1075" s="417"/>
    </row>
    <row r="1076" spans="1:8" x14ac:dyDescent="0.3">
      <c r="A1076" t="str">
        <f>IF('F2 - Données facturation'!$N$32=0,"Hide","")</f>
        <v>Hide</v>
      </c>
      <c r="C1076" s="416"/>
      <c r="D1076" s="415"/>
      <c r="E1076" s="231"/>
      <c r="F1076" s="231"/>
      <c r="G1076" s="231"/>
      <c r="H1076" s="231"/>
    </row>
    <row r="1077" spans="1:8" x14ac:dyDescent="0.3">
      <c r="A1077" t="str">
        <f>IF('F2 - Données facturation'!$N$32=0,"Hide","")</f>
        <v>Hide</v>
      </c>
      <c r="C1077" s="996" t="s">
        <v>497</v>
      </c>
      <c r="D1077" s="996"/>
      <c r="E1077" s="996"/>
      <c r="F1077" s="996"/>
      <c r="G1077" s="996"/>
      <c r="H1077" s="996"/>
    </row>
    <row r="1078" spans="1:8" ht="15" thickBot="1" x14ac:dyDescent="0.35">
      <c r="A1078" t="str">
        <f>IF('F2 - Données facturation'!$N$32=0,"Hide","")</f>
        <v>Hide</v>
      </c>
      <c r="C1078" s="414" t="s">
        <v>496</v>
      </c>
      <c r="D1078" s="413">
        <f>80/B579</f>
        <v>0.21917808219178081</v>
      </c>
    </row>
    <row r="1079" spans="1:8" ht="15" thickBot="1" x14ac:dyDescent="0.35">
      <c r="A1079" t="str">
        <f>IF('F2 - Données facturation'!$N$32=0,"Hide","")</f>
        <v>Hide</v>
      </c>
      <c r="C1079" t="s">
        <v>495</v>
      </c>
      <c r="F1079" s="412">
        <f>H1064</f>
        <v>0</v>
      </c>
    </row>
    <row r="1080" spans="1:8" ht="15" thickBot="1" x14ac:dyDescent="0.35">
      <c r="A1080" t="str">
        <f>IF('F2 - Données facturation'!$N$32=0,"Hide","")</f>
        <v>Hide</v>
      </c>
      <c r="C1080" t="s">
        <v>494</v>
      </c>
      <c r="F1080" s="412">
        <f>F1079*0.1</f>
        <v>0</v>
      </c>
    </row>
    <row r="1081" spans="1:8" ht="15" thickBot="1" x14ac:dyDescent="0.35">
      <c r="A1081" t="str">
        <f>IF('F2 - Données facturation'!$N$32=0,"Hide","")</f>
        <v>Hide</v>
      </c>
      <c r="C1081" t="s">
        <v>493</v>
      </c>
      <c r="F1081" s="412">
        <f>F1080*D1078</f>
        <v>0</v>
      </c>
    </row>
    <row r="1082" spans="1:8" ht="15" thickBot="1" x14ac:dyDescent="0.35">
      <c r="A1082" t="str">
        <f>IF('F2 - Données facturation'!$N$32=0,"Hide","")</f>
        <v>Hide</v>
      </c>
    </row>
    <row r="1083" spans="1:8" x14ac:dyDescent="0.3">
      <c r="A1083" t="str">
        <f>IF('F2 - Données facturation'!$N$32=0,"Hide","")</f>
        <v>Hide</v>
      </c>
      <c r="C1083" s="996" t="s">
        <v>732</v>
      </c>
      <c r="D1083" s="996"/>
      <c r="E1083" s="996"/>
      <c r="F1083" s="997">
        <f>F1081</f>
        <v>0</v>
      </c>
    </row>
    <row r="1084" spans="1:8" ht="15" thickBot="1" x14ac:dyDescent="0.35">
      <c r="A1084" t="str">
        <f>IF('F2 - Données facturation'!$N$32=0,"Hide","")</f>
        <v>Hide</v>
      </c>
      <c r="C1084" s="996"/>
      <c r="D1084" s="996"/>
      <c r="E1084" s="996"/>
      <c r="F1084" s="998"/>
      <c r="G1084" t="str">
        <f ca="1">IF(C573="Base / Ortho","N/A",IF(H1069&gt;=H1064-F1083,"OK","NOT OK"))</f>
        <v>OK</v>
      </c>
    </row>
    <row r="1085" spans="1:8" x14ac:dyDescent="0.3">
      <c r="A1085" t="str">
        <f>IF('F2 - Données facturation'!$N$32=0,"Hide","")</f>
        <v>Hide</v>
      </c>
    </row>
    <row r="1086" spans="1:8" ht="18.600000000000001" thickBot="1" x14ac:dyDescent="0.4">
      <c r="A1086" t="str">
        <f>IF('F2 - Données facturation'!$N$32=0,"Hide","")</f>
        <v>Hide</v>
      </c>
      <c r="C1086" s="411" t="s">
        <v>492</v>
      </c>
    </row>
    <row r="1087" spans="1:8" ht="15.6" x14ac:dyDescent="0.3">
      <c r="A1087" t="str">
        <f>IF('F2 - Données facturation'!$N$32=0,"Hide","")</f>
        <v>Hide</v>
      </c>
      <c r="B1087" s="999" t="s">
        <v>491</v>
      </c>
      <c r="C1087" s="1000"/>
      <c r="D1087" s="1000"/>
      <c r="E1087" s="1000"/>
      <c r="F1087" s="1000"/>
      <c r="G1087" s="1000"/>
      <c r="H1087" s="1001"/>
    </row>
    <row r="1088" spans="1:8" ht="15.6" x14ac:dyDescent="0.3">
      <c r="A1088" t="str">
        <f>IF('F2 - Données facturation'!$N$32=0,"Hide","")</f>
        <v>Hide</v>
      </c>
      <c r="B1088" s="212"/>
      <c r="C1088" s="404"/>
      <c r="D1088" s="995" t="str">
        <f ca="1">IF(H1069&gt;=H1064,"OUI","NON")</f>
        <v>OUI</v>
      </c>
      <c r="E1088" s="995"/>
      <c r="F1088" s="404"/>
      <c r="G1088" s="404"/>
      <c r="H1088" s="409"/>
    </row>
    <row r="1089" spans="1:8" ht="50.25" customHeight="1" x14ac:dyDescent="0.3">
      <c r="A1089" t="str">
        <f>IF('F2 - Données facturation'!$N$32=0,"Hide","")</f>
        <v>Hide</v>
      </c>
      <c r="B1089" s="992" t="s">
        <v>490</v>
      </c>
      <c r="C1089" s="993"/>
      <c r="D1089" s="993"/>
      <c r="E1089" s="993"/>
      <c r="F1089" s="993"/>
      <c r="G1089" s="993"/>
      <c r="H1089" s="994"/>
    </row>
    <row r="1090" spans="1:8" ht="15.6" x14ac:dyDescent="0.3">
      <c r="A1090" t="str">
        <f>IF('F2 - Données facturation'!$N$32=0,"Hide","")</f>
        <v>Hide</v>
      </c>
      <c r="B1090" s="410"/>
      <c r="C1090" s="404"/>
      <c r="D1090" s="995" t="str">
        <f ca="1">IF(G1084="OK","OUI","NON")</f>
        <v>OUI</v>
      </c>
      <c r="E1090" s="995"/>
      <c r="F1090" s="404"/>
      <c r="G1090" s="404"/>
      <c r="H1090" s="409"/>
    </row>
    <row r="1091" spans="1:8" x14ac:dyDescent="0.3">
      <c r="A1091" t="str">
        <f>IF('F2 - Données facturation'!$N$32=0,"Hide","")</f>
        <v>Hide</v>
      </c>
      <c r="B1091" s="212"/>
      <c r="H1091" s="210"/>
    </row>
    <row r="1092" spans="1:8" ht="15.6" x14ac:dyDescent="0.3">
      <c r="A1092" t="str">
        <f>IF('F2 - Données facturation'!$N$32=0,"Hide","")</f>
        <v>Hide</v>
      </c>
      <c r="B1092" s="992" t="s">
        <v>489</v>
      </c>
      <c r="C1092" s="993"/>
      <c r="D1092" s="993"/>
      <c r="E1092" s="993"/>
      <c r="F1092" s="993"/>
      <c r="G1092" s="993"/>
      <c r="H1092" s="994"/>
    </row>
    <row r="1093" spans="1:8" ht="15.6" x14ac:dyDescent="0.3">
      <c r="A1093" t="str">
        <f>IF('F2 - Données facturation'!$N$32=0,"Hide","")</f>
        <v>Hide</v>
      </c>
      <c r="B1093" s="212"/>
      <c r="D1093" s="995" t="str">
        <f ca="1">IF(AND(D1070="OK",E1070="OK",F1070="OK",G1070="OK"),"OUI","NON")</f>
        <v>OUI</v>
      </c>
      <c r="E1093" s="995"/>
      <c r="H1093" s="210"/>
    </row>
    <row r="1094" spans="1:8" ht="15.6" x14ac:dyDescent="0.3">
      <c r="A1094" t="str">
        <f>IF('F2 - Données facturation'!$N$32=0,"Hide","")</f>
        <v>Hide</v>
      </c>
      <c r="B1094" s="212"/>
      <c r="D1094" s="408"/>
      <c r="E1094" s="408"/>
      <c r="H1094" s="210"/>
    </row>
    <row r="1095" spans="1:8" ht="15.6" x14ac:dyDescent="0.3">
      <c r="A1095" t="str">
        <f>IF('F2 - Données facturation'!$N$32=0,"Hide","")</f>
        <v>Hide</v>
      </c>
      <c r="B1095" s="992" t="s">
        <v>488</v>
      </c>
      <c r="C1095" s="993"/>
      <c r="D1095" s="993"/>
      <c r="E1095" s="993"/>
      <c r="F1095" s="993"/>
      <c r="G1095" s="993"/>
      <c r="H1095" s="994"/>
    </row>
    <row r="1096" spans="1:8" ht="15.6" x14ac:dyDescent="0.3">
      <c r="A1096" t="str">
        <f>IF('F2 - Données facturation'!$N$32=0,"Hide","")</f>
        <v>Hide</v>
      </c>
      <c r="B1096" s="212"/>
      <c r="D1096" s="995" t="str">
        <f>_xlfn.IFS(AND(F1074="TO BE VERIFIED",E1074&gt;0),"OUI",AND(F1074="TO BE VERIFIED",E1074&lt;=0),"NON",F1074="N/A","N/A")</f>
        <v>N/A</v>
      </c>
      <c r="E1096" s="995"/>
      <c r="H1096" s="210"/>
    </row>
    <row r="1097" spans="1:8" ht="15" thickBot="1" x14ac:dyDescent="0.35">
      <c r="A1097" t="str">
        <f>IF('F2 - Données facturation'!$N$32=0,"Hide","")</f>
        <v>Hide</v>
      </c>
      <c r="B1097" s="407"/>
      <c r="C1097" s="406"/>
      <c r="D1097" s="406"/>
      <c r="E1097" s="406"/>
      <c r="F1097" s="406"/>
      <c r="G1097" s="406"/>
      <c r="H1097" s="405"/>
    </row>
    <row r="1098" spans="1:8" x14ac:dyDescent="0.3">
      <c r="A1098" t="str">
        <f>IF('F2 - Données facturation'!$N$32=0,"Hide","")</f>
        <v>Hide</v>
      </c>
    </row>
    <row r="1099" spans="1:8" x14ac:dyDescent="0.3">
      <c r="A1099" t="str">
        <f>IF('F2 - Données facturation'!$N$32=0,"Hide","")</f>
        <v>Hide</v>
      </c>
    </row>
    <row r="1100" spans="1:8" x14ac:dyDescent="0.3">
      <c r="A1100" t="str">
        <f>IF('F2 - Données facturation'!$N$32=0,"Hide","")</f>
        <v>Hide</v>
      </c>
    </row>
    <row r="1101" spans="1:8" x14ac:dyDescent="0.3">
      <c r="A1101" t="str">
        <f>IF('F2 - Données facturation'!$N$32=0,"Hide","")</f>
        <v>Hide</v>
      </c>
    </row>
    <row r="1102" spans="1:8" x14ac:dyDescent="0.3">
      <c r="A1102" t="str">
        <f>IF('F2 - Données facturation'!$N$32=0,"Hide","")</f>
        <v>Hide</v>
      </c>
      <c r="C1102" s="404" t="s">
        <v>487</v>
      </c>
      <c r="D1102" s="404"/>
      <c r="F1102" s="122" t="s">
        <v>486</v>
      </c>
      <c r="G1102">
        <f>C572</f>
        <v>0</v>
      </c>
    </row>
    <row r="1103" spans="1:8" x14ac:dyDescent="0.3">
      <c r="A1103" t="str">
        <f>IF('F2 - Données facturation'!$N$32=0,"Hide","")</f>
        <v>Hide</v>
      </c>
      <c r="C1103" s="404" t="s">
        <v>485</v>
      </c>
      <c r="D1103" s="404"/>
    </row>
    <row r="1104" spans="1:8" x14ac:dyDescent="0.3">
      <c r="A1104" t="str">
        <f>IF('F2 - Données facturation'!$N$32=0,"Hide","")</f>
        <v>Hide</v>
      </c>
      <c r="C1104" s="404"/>
      <c r="D1104" s="404"/>
    </row>
    <row r="1105" spans="1:4" x14ac:dyDescent="0.3">
      <c r="A1105" t="str">
        <f>IF('F2 - Données facturation'!$N$32=0,"Hide","")</f>
        <v>Hide</v>
      </c>
      <c r="C1105" s="404"/>
      <c r="D1105" s="404"/>
    </row>
    <row r="1106" spans="1:4" x14ac:dyDescent="0.3">
      <c r="A1106" t="str">
        <f>IF('F2 - Données facturation'!$N$32=0,"Hide","")</f>
        <v>Hide</v>
      </c>
      <c r="C1106" s="404"/>
      <c r="D1106" s="404"/>
    </row>
    <row r="1107" spans="1:4" x14ac:dyDescent="0.3">
      <c r="A1107" t="str">
        <f>IF('F2 - Données facturation'!$N$32=0,"Hide","")</f>
        <v>Hide</v>
      </c>
      <c r="C1107" s="404" t="s">
        <v>727</v>
      </c>
      <c r="D1107" s="404"/>
    </row>
    <row r="1108" spans="1:4" x14ac:dyDescent="0.3">
      <c r="A1108" t="str">
        <f>IF('F2 - Données facturation'!$N$32=0,"Hide","")</f>
        <v>Hide</v>
      </c>
      <c r="C1108" s="404" t="s">
        <v>728</v>
      </c>
      <c r="D1108" s="404"/>
    </row>
    <row r="1109" spans="1:4" x14ac:dyDescent="0.3">
      <c r="A1109" t="str">
        <f>IF('F2 - Données facturation'!$N$32=0,"Hide","")</f>
        <v>Hide</v>
      </c>
    </row>
    <row r="1110" spans="1:4" x14ac:dyDescent="0.3">
      <c r="A1110" t="str">
        <f>IF('F2 - Données facturation'!$N$32=0,"Hide","")</f>
        <v>Hide</v>
      </c>
    </row>
  </sheetData>
  <protectedRanges>
    <protectedRange sqref="A1:A1048576" name="AllowSortFilter"/>
  </protectedRanges>
  <autoFilter ref="A1:A1110" xr:uid="{C273D559-3D26-4512-91F9-92775823BA83}"/>
  <mergeCells count="160">
    <mergeCell ref="B1:D1"/>
    <mergeCell ref="B167:G167"/>
    <mergeCell ref="B182:C182"/>
    <mergeCell ref="B185:F185"/>
    <mergeCell ref="C189:D189"/>
    <mergeCell ref="B196:F196"/>
    <mergeCell ref="C235:E235"/>
    <mergeCell ref="B239:C239"/>
    <mergeCell ref="B241:F241"/>
    <mergeCell ref="C248:H248"/>
    <mergeCell ref="B253:F253"/>
    <mergeCell ref="C262:H262"/>
    <mergeCell ref="C205:H205"/>
    <mergeCell ref="B223:F223"/>
    <mergeCell ref="B229:F229"/>
    <mergeCell ref="C231:E231"/>
    <mergeCell ref="C232:E232"/>
    <mergeCell ref="C233:E233"/>
    <mergeCell ref="C296:E296"/>
    <mergeCell ref="C298:E298"/>
    <mergeCell ref="B303:C303"/>
    <mergeCell ref="B305:F305"/>
    <mergeCell ref="C311:I311"/>
    <mergeCell ref="B316:F316"/>
    <mergeCell ref="B279:F279"/>
    <mergeCell ref="B285:F285"/>
    <mergeCell ref="B291:F291"/>
    <mergeCell ref="C293:E293"/>
    <mergeCell ref="C294:E294"/>
    <mergeCell ref="C295:E295"/>
    <mergeCell ref="C355:E355"/>
    <mergeCell ref="B358:C358"/>
    <mergeCell ref="B360:F360"/>
    <mergeCell ref="C366:H366"/>
    <mergeCell ref="B370:F370"/>
    <mergeCell ref="C377:H377"/>
    <mergeCell ref="C325:H325"/>
    <mergeCell ref="B343:F343"/>
    <mergeCell ref="B349:F349"/>
    <mergeCell ref="C351:E351"/>
    <mergeCell ref="C352:E352"/>
    <mergeCell ref="C353:E353"/>
    <mergeCell ref="B411:C411"/>
    <mergeCell ref="B413:F413"/>
    <mergeCell ref="C420:H420"/>
    <mergeCell ref="B425:F425"/>
    <mergeCell ref="C434:H434"/>
    <mergeCell ref="B451:F451"/>
    <mergeCell ref="B394:F394"/>
    <mergeCell ref="B400:F400"/>
    <mergeCell ref="C402:E402"/>
    <mergeCell ref="C403:E403"/>
    <mergeCell ref="C404:E404"/>
    <mergeCell ref="C406:E406"/>
    <mergeCell ref="B468:F468"/>
    <mergeCell ref="C475:H475"/>
    <mergeCell ref="B480:F480"/>
    <mergeCell ref="C489:H489"/>
    <mergeCell ref="B507:F507"/>
    <mergeCell ref="B515:F515"/>
    <mergeCell ref="B457:F457"/>
    <mergeCell ref="C459:E459"/>
    <mergeCell ref="C460:E460"/>
    <mergeCell ref="C461:E461"/>
    <mergeCell ref="C463:E463"/>
    <mergeCell ref="B466:C466"/>
    <mergeCell ref="D549:E549"/>
    <mergeCell ref="B551:I551"/>
    <mergeCell ref="D552:E552"/>
    <mergeCell ref="C586:H586"/>
    <mergeCell ref="C595:D595"/>
    <mergeCell ref="C599:D599"/>
    <mergeCell ref="C517:E517"/>
    <mergeCell ref="C518:E518"/>
    <mergeCell ref="C519:E519"/>
    <mergeCell ref="C521:E521"/>
    <mergeCell ref="B526:I526"/>
    <mergeCell ref="B548:I548"/>
    <mergeCell ref="C648:E648"/>
    <mergeCell ref="C649:E649"/>
    <mergeCell ref="C651:E651"/>
    <mergeCell ref="C657:H657"/>
    <mergeCell ref="C666:D666"/>
    <mergeCell ref="C670:D670"/>
    <mergeCell ref="C601:H601"/>
    <mergeCell ref="C605:H605"/>
    <mergeCell ref="C609:H609"/>
    <mergeCell ref="C614:H614"/>
    <mergeCell ref="C621:H621"/>
    <mergeCell ref="C647:E647"/>
    <mergeCell ref="C719:E719"/>
    <mergeCell ref="C720:E720"/>
    <mergeCell ref="C722:E722"/>
    <mergeCell ref="C728:H728"/>
    <mergeCell ref="C736:H736"/>
    <mergeCell ref="C741:H741"/>
    <mergeCell ref="C672:H672"/>
    <mergeCell ref="C676:H676"/>
    <mergeCell ref="C680:H680"/>
    <mergeCell ref="C685:H685"/>
    <mergeCell ref="C692:H692"/>
    <mergeCell ref="C718:E718"/>
    <mergeCell ref="C797:D797"/>
    <mergeCell ref="C801:D801"/>
    <mergeCell ref="C803:H803"/>
    <mergeCell ref="C807:H807"/>
    <mergeCell ref="C811:H811"/>
    <mergeCell ref="C816:H816"/>
    <mergeCell ref="C750:H750"/>
    <mergeCell ref="C778:E778"/>
    <mergeCell ref="C779:E779"/>
    <mergeCell ref="C780:E780"/>
    <mergeCell ref="C782:E782"/>
    <mergeCell ref="C788:I788"/>
    <mergeCell ref="C870:H870"/>
    <mergeCell ref="C875:H875"/>
    <mergeCell ref="C884:H884"/>
    <mergeCell ref="C912:E912"/>
    <mergeCell ref="C913:E913"/>
    <mergeCell ref="C914:E914"/>
    <mergeCell ref="C825:H825"/>
    <mergeCell ref="C853:E853"/>
    <mergeCell ref="C854:E854"/>
    <mergeCell ref="C855:E855"/>
    <mergeCell ref="C857:E857"/>
    <mergeCell ref="C862:H862"/>
    <mergeCell ref="C965:E965"/>
    <mergeCell ref="C966:E966"/>
    <mergeCell ref="C968:E968"/>
    <mergeCell ref="C977:H977"/>
    <mergeCell ref="C986:D986"/>
    <mergeCell ref="C990:D990"/>
    <mergeCell ref="C916:E916"/>
    <mergeCell ref="C922:H922"/>
    <mergeCell ref="C928:H928"/>
    <mergeCell ref="C932:H932"/>
    <mergeCell ref="C939:H939"/>
    <mergeCell ref="C964:E964"/>
    <mergeCell ref="C1043:E1043"/>
    <mergeCell ref="C1044:E1044"/>
    <mergeCell ref="C1046:E1046"/>
    <mergeCell ref="C1066:H1066"/>
    <mergeCell ref="C1073:H1073"/>
    <mergeCell ref="C1077:H1077"/>
    <mergeCell ref="C992:H992"/>
    <mergeCell ref="C996:H996"/>
    <mergeCell ref="C1000:H1000"/>
    <mergeCell ref="C1005:H1005"/>
    <mergeCell ref="C1014:H1014"/>
    <mergeCell ref="C1042:E1042"/>
    <mergeCell ref="B1092:H1092"/>
    <mergeCell ref="D1093:E1093"/>
    <mergeCell ref="B1095:H1095"/>
    <mergeCell ref="D1096:E1096"/>
    <mergeCell ref="C1083:E1084"/>
    <mergeCell ref="F1083:F1084"/>
    <mergeCell ref="B1087:H1087"/>
    <mergeCell ref="D1088:E1088"/>
    <mergeCell ref="B1089:H1089"/>
    <mergeCell ref="D1090:E1090"/>
  </mergeCells>
  <conditionalFormatting sqref="D549:E549 D552:E552 D1088:E1088 D1090:E1090 D1093:E1093 D1096:E1096">
    <cfRule type="cellIs" dxfId="9" priority="3" operator="equal">
      <formula>"OUI"</formula>
    </cfRule>
    <cfRule type="cellIs" dxfId="8" priority="4" operator="equal">
      <formula>"NON"</formula>
    </cfRule>
  </conditionalFormatting>
  <conditionalFormatting sqref="H14">
    <cfRule type="cellIs" dxfId="7" priority="1" operator="equal">
      <formula>"test de plausibilité réussi"</formula>
    </cfRule>
    <cfRule type="cellIs" dxfId="6" priority="2" operator="equal">
      <formula>"test de plausibilité pas réussi"</formula>
    </cfRule>
  </conditionalFormatting>
  <dataValidations count="1">
    <dataValidation type="list" allowBlank="1" showInputMessage="1" showErrorMessage="1" sqref="I29" xr:uid="{23101086-3DB5-484B-BA10-52BE73651AB8}">
      <formula1>$J$28:$J$30</formula1>
    </dataValidation>
  </dataValidations>
  <pageMargins left="0.7" right="0.7" top="0.75" bottom="0.75" header="0.3" footer="0.3"/>
  <pageSetup paperSize="9" fitToHeight="0"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CD20-F6FD-4DB0-8E9C-747E72C2B168}">
  <sheetPr>
    <tabColor rgb="FFFFC000"/>
  </sheetPr>
  <dimension ref="A1:K250"/>
  <sheetViews>
    <sheetView workbookViewId="0">
      <selection activeCell="B23" sqref="B23"/>
    </sheetView>
  </sheetViews>
  <sheetFormatPr defaultColWidth="8.88671875" defaultRowHeight="14.4" x14ac:dyDescent="0.3"/>
  <cols>
    <col min="1" max="1" width="86.109375" customWidth="1"/>
    <col min="2" max="2" width="24.6640625" bestFit="1" customWidth="1"/>
    <col min="3" max="3" width="15.33203125" customWidth="1"/>
    <col min="4" max="4" width="12.6640625" bestFit="1" customWidth="1"/>
    <col min="5" max="5" width="22.88671875" bestFit="1" customWidth="1"/>
    <col min="6" max="6" width="12" bestFit="1" customWidth="1"/>
    <col min="7" max="7" width="26.33203125" bestFit="1" customWidth="1"/>
    <col min="8" max="8" width="17.44140625" bestFit="1" customWidth="1"/>
    <col min="9" max="9" width="9.88671875" bestFit="1" customWidth="1"/>
    <col min="10" max="10" width="19.33203125" bestFit="1" customWidth="1"/>
    <col min="11" max="11" width="8.109375" bestFit="1" customWidth="1"/>
  </cols>
  <sheetData>
    <row r="1" spans="1:11" ht="18" x14ac:dyDescent="0.35">
      <c r="A1" s="576">
        <f>'F0 - Données générales'!C2</f>
        <v>0</v>
      </c>
      <c r="B1" s="577"/>
      <c r="C1" s="577"/>
      <c r="H1" s="657" t="str">
        <f>IF('F0 - Données générales'!C3="horaire","","!!! ouverture X jours Y places !!! Corrigé")</f>
        <v/>
      </c>
      <c r="I1" s="657"/>
      <c r="J1" s="657" t="s">
        <v>757</v>
      </c>
      <c r="K1" s="657"/>
    </row>
    <row r="2" spans="1:11" x14ac:dyDescent="0.3">
      <c r="A2" s="2"/>
      <c r="B2" s="511" t="s">
        <v>726</v>
      </c>
      <c r="C2" s="511" t="s">
        <v>725</v>
      </c>
      <c r="E2" s="650" t="str">
        <f>IF('F0 - Données générales'!C3="horaire","","Tarif de ce recensement")</f>
        <v/>
      </c>
      <c r="F2" s="651"/>
      <c r="H2" s="657"/>
      <c r="I2" s="657"/>
      <c r="J2" s="657" t="s">
        <v>753</v>
      </c>
      <c r="K2" s="658">
        <f>B26+B27+B28+B25</f>
        <v>0</v>
      </c>
    </row>
    <row r="3" spans="1:11" x14ac:dyDescent="0.3">
      <c r="A3" s="2">
        <f>IF('F0 - Données générales'!C3="horaire",'F0 - Données générales'!C4,"")</f>
        <v>7</v>
      </c>
      <c r="B3" s="578">
        <f>IF('F0 - Données générales'!C3="horaire",VLOOKUP(Synthèse!A3,'F2 - Données facturation'!F5:M23,2,FALSE),"")</f>
        <v>0</v>
      </c>
      <c r="C3" s="578">
        <f>IF('F0 - Données générales'!C3="horaire",VLOOKUP(Synthèse!A3,'F2 - Données facturation'!F5:M23,7,FALSE),"")</f>
        <v>0</v>
      </c>
      <c r="E3" s="652" t="str">
        <f>IF('F0 - Données générales'!C3="horaire","",VLOOKUP('F0 - Données générales'!C4,Synthèse!A5:D10,4,TRUE))</f>
        <v/>
      </c>
      <c r="F3" s="653"/>
      <c r="H3" s="658" t="str">
        <f>IF('F0 - Données générales'!C3="horaire","",'F2 - Données facturation'!N29)</f>
        <v/>
      </c>
      <c r="I3" s="657"/>
      <c r="J3" s="657" t="s">
        <v>755</v>
      </c>
      <c r="K3" s="658">
        <f>B24</f>
        <v>0</v>
      </c>
    </row>
    <row r="4" spans="1:11" x14ac:dyDescent="0.3">
      <c r="A4" s="2" t="str">
        <f>IF('F0 - Données générales'!C3="horaire","Déplacement "&amp;'F0 - Données générales'!C4,"")</f>
        <v>Déplacement 7</v>
      </c>
      <c r="B4" s="578">
        <f>IF('F0 - Données générales'!C3="horaire",VLOOKUP(Synthèse!A3,'F2 - Données facturation'!F5:M23,3,FALSE),"")</f>
        <v>0</v>
      </c>
      <c r="C4" s="578">
        <f>IF('F0 - Données générales'!C3="horaire",VLOOKUP(Synthèse!A3,'F2 - Données facturation'!F5:M23,8,FALSE),"")</f>
        <v>0</v>
      </c>
      <c r="D4" s="404" t="str">
        <f>IF('F0 - Données générales'!C3="horaire","","Tarif")</f>
        <v/>
      </c>
      <c r="E4" s="404" t="str">
        <f>IF('F0 - Données générales'!C3="horaire","","Diviseur")</f>
        <v/>
      </c>
      <c r="H4" s="658" t="str">
        <f>IF('F0 - Données générales'!C3="horaire","","Places agréées")</f>
        <v/>
      </c>
      <c r="I4" s="657"/>
      <c r="J4" s="657" t="s">
        <v>756</v>
      </c>
      <c r="K4" s="658">
        <f>B21+B23</f>
        <v>0</v>
      </c>
    </row>
    <row r="5" spans="1:11" x14ac:dyDescent="0.3">
      <c r="A5" s="647" t="str">
        <f>IF('F0 - Données générales'!C3="horaire","","Base")</f>
        <v/>
      </c>
      <c r="B5" s="578" t="str">
        <f>IF('F0 - Données générales'!C3="horaire","",'F2 - Données facturation'!F31)</f>
        <v/>
      </c>
      <c r="C5" s="578" t="str">
        <f>IF('F0 - Données générales'!C3="horaire","",'F2 - Données facturation'!F32)</f>
        <v/>
      </c>
      <c r="D5" s="404" t="str">
        <f>IF('F0 - Données générales'!C3="horaire","",'F2 - Données facturation'!W11)</f>
        <v/>
      </c>
      <c r="E5" s="654" t="str">
        <f>IF('F0 - Données générales'!$C$3="horaire","",D5/$E$3)</f>
        <v/>
      </c>
      <c r="F5" s="578" t="str">
        <f>IF('F0 - Données générales'!$C$3="horaire","",C5*E5)</f>
        <v/>
      </c>
      <c r="H5" s="658" t="str">
        <f>IF('F0 - Données générales'!C3="horaire","",SUMPRODUCT('F1 - Renseignementscompl'!P5:P11,'F1 - Renseignementscompl'!S5:S11))</f>
        <v/>
      </c>
      <c r="I5" s="657"/>
      <c r="J5" s="657" t="s">
        <v>754</v>
      </c>
      <c r="K5" s="658">
        <f>B19+B20+B22</f>
        <v>0</v>
      </c>
    </row>
    <row r="6" spans="1:11" x14ac:dyDescent="0.3">
      <c r="A6" s="648" t="str">
        <f>IF('F0 - Données générales'!C3="horaire","","Ortho")</f>
        <v/>
      </c>
      <c r="B6" s="578" t="str">
        <f>IF('F0 - Données générales'!C3="horaire","",'F2 - Données facturation'!G31)</f>
        <v/>
      </c>
      <c r="C6" s="578" t="str">
        <f>IF('F0 - Données générales'!C3="horaire","",'F2 - Données facturation'!G32)</f>
        <v/>
      </c>
      <c r="D6" s="404" t="str">
        <f>IF('F0 - Données générales'!C3="horaire","",'F2 - Données facturation'!W12)</f>
        <v/>
      </c>
      <c r="E6" s="654" t="str">
        <f>IF('F0 - Données générales'!$C$3="horaire","",D6/$E$3)</f>
        <v/>
      </c>
      <c r="F6" s="578" t="str">
        <f>IF('F0 - Données générales'!$C$3="horaire","",C6*E6)</f>
        <v/>
      </c>
      <c r="H6" s="658"/>
      <c r="I6" s="657"/>
      <c r="J6" s="657"/>
      <c r="K6" s="658">
        <f>K2+K3+K4+K5</f>
        <v>0</v>
      </c>
    </row>
    <row r="7" spans="1:11" x14ac:dyDescent="0.3">
      <c r="A7" s="648" t="str">
        <f>IF('F0 - Données générales'!C3="horaire","","Psycho")</f>
        <v/>
      </c>
      <c r="B7" s="578" t="str">
        <f>IF('F0 - Données générales'!C3="horaire","",'F2 - Données facturation'!H31)</f>
        <v/>
      </c>
      <c r="C7" s="578" t="str">
        <f>IF('F0 - Données générales'!C3="horaire","",'F2 - Données facturation'!H32)</f>
        <v/>
      </c>
      <c r="D7" s="404" t="str">
        <f>IF('F0 - Données générales'!C3="horaire","",'F2 - Données facturation'!W13)</f>
        <v/>
      </c>
      <c r="E7" s="654" t="str">
        <f>IF('F0 - Données générales'!$C$3="horaire","",D7/$E$3)</f>
        <v/>
      </c>
      <c r="F7" s="578" t="str">
        <f>IF('F0 - Données générales'!$C$3="horaire","",C7*E7)</f>
        <v/>
      </c>
      <c r="H7" s="658"/>
      <c r="I7" s="657"/>
      <c r="J7" s="657"/>
      <c r="K7" s="657"/>
    </row>
    <row r="8" spans="1:11" ht="13.95" customHeight="1" x14ac:dyDescent="0.3">
      <c r="A8" s="648" t="str">
        <f>IF('F0 - Données générales'!C3="horaire","","AUSC")</f>
        <v/>
      </c>
      <c r="B8" s="578" t="str">
        <f>IF('F0 - Données générales'!C3="horaire","",'F2 - Données facturation'!I31)</f>
        <v/>
      </c>
      <c r="C8" s="578" t="str">
        <f>IF('F0 - Données générales'!C3="horaire","",'F2 - Données facturation'!I32)</f>
        <v/>
      </c>
      <c r="D8" s="404" t="str">
        <f>IF('F0 - Données générales'!C3="horaire","",'F2 - Données facturation'!W14)</f>
        <v/>
      </c>
      <c r="E8" s="654" t="str">
        <f>IF('F0 - Données générales'!$C$3="horaire","",D8/$E$3)</f>
        <v/>
      </c>
      <c r="F8" s="578" t="str">
        <f>IF('F0 - Données générales'!$C$3="horaire","",C8*E8)</f>
        <v/>
      </c>
      <c r="H8" s="658" t="str">
        <f>IF('F0 - Données générales'!C3="horaire","","Taux d'occupation")</f>
        <v/>
      </c>
      <c r="I8" s="657" t="str">
        <f>IF('F0 - Données générales'!C3="horaire","",C13/H5)</f>
        <v/>
      </c>
      <c r="J8" s="657"/>
      <c r="K8" s="657"/>
    </row>
    <row r="9" spans="1:11" ht="13.95" customHeight="1" x14ac:dyDescent="0.3">
      <c r="A9" s="648" t="str">
        <f>IF('F0 - Données générales'!C3="horaire","","0-3 ans")</f>
        <v/>
      </c>
      <c r="B9" s="578" t="str">
        <f>IF('F0 - Données générales'!C3="horaire","",'F2 - Données facturation'!J31)</f>
        <v/>
      </c>
      <c r="C9" s="578" t="str">
        <f>IF('F0 - Données générales'!C3="horaire","",'F2 - Données facturation'!J32)</f>
        <v/>
      </c>
      <c r="D9" s="404" t="str">
        <f>IF('F0 - Données générales'!C3="horaire","",'F2 - Données facturation'!W15)</f>
        <v/>
      </c>
      <c r="E9" s="654" t="str">
        <f>IF('F0 - Données générales'!$C$3="horaire","",D9/$E$3)</f>
        <v/>
      </c>
      <c r="F9" s="578" t="str">
        <f>IF('F0 - Données générales'!$C$3="horaire","",C9*E9)</f>
        <v/>
      </c>
      <c r="H9" s="658"/>
      <c r="I9" s="657"/>
      <c r="J9" s="657"/>
      <c r="K9" s="657"/>
    </row>
    <row r="10" spans="1:11" x14ac:dyDescent="0.3">
      <c r="A10" s="648" t="str">
        <f>IF('F0 - Données générales'!C3="horaire","","Petit groupe")</f>
        <v/>
      </c>
      <c r="B10" s="578" t="str">
        <f>IF('F0 - Données générales'!C3="horaire","",'F2 - Données facturation'!K31)</f>
        <v/>
      </c>
      <c r="C10" s="578" t="str">
        <f>IF('F0 - Données générales'!C3="horaire","",'F2 - Données facturation'!K32)</f>
        <v/>
      </c>
      <c r="D10" s="404" t="str">
        <f>IF('F0 - Données générales'!C3="horaire","",'F2 - Données facturation'!W16)</f>
        <v/>
      </c>
      <c r="E10" s="654" t="str">
        <f>IF('F0 - Données générales'!$C$3="horaire","",D10/$E$3)</f>
        <v/>
      </c>
      <c r="F10" s="578" t="str">
        <f>IF('F0 - Données générales'!$C$3="horaire","",C10*E10)</f>
        <v/>
      </c>
      <c r="H10" s="658"/>
      <c r="I10" s="657"/>
      <c r="J10" s="657"/>
      <c r="K10" s="657"/>
    </row>
    <row r="11" spans="1:11" x14ac:dyDescent="0.3">
      <c r="A11" s="648" t="str">
        <f>IF('F0 - Données générales'!C3="horaire","","Ortho jour")</f>
        <v/>
      </c>
      <c r="B11" s="578" t="str">
        <f>IF('F0 - Données générales'!C3="horaire","",'F2 - Données facturation'!L31)</f>
        <v/>
      </c>
      <c r="C11" s="578" t="str">
        <f>IF('F0 - Données générales'!C3="horaire","",'F2 - Données facturation'!L32)</f>
        <v/>
      </c>
      <c r="F11" s="578"/>
      <c r="G11" s="579"/>
      <c r="H11" s="658" t="str">
        <f>IF('F0 - Données générales'!C3="horaire","","nombre d'enfants")</f>
        <v/>
      </c>
      <c r="I11" s="657" t="str">
        <f>IF('F0 - Données générales'!C3="horaire","",C13/365)</f>
        <v/>
      </c>
      <c r="J11" s="657"/>
      <c r="K11" s="657"/>
    </row>
    <row r="12" spans="1:11" x14ac:dyDescent="0.3">
      <c r="A12" s="648" t="str">
        <f>IF('F0 - Données générales'!C3="horaire","","Psycho jour")</f>
        <v/>
      </c>
      <c r="B12" s="578" t="str">
        <f>IF('F0 - Données générales'!C3="horaire","",'F2 - Données facturation'!M31)</f>
        <v/>
      </c>
      <c r="C12" s="578" t="str">
        <f>IF('F0 - Données générales'!C3="horaire","",'F2 - Données facturation'!M32)</f>
        <v/>
      </c>
      <c r="F12" s="578"/>
      <c r="G12" s="579"/>
      <c r="H12" s="658" t="str">
        <f>IF('F0 - Données générales'!C3="horaire","","nombre d'enfants (diviseur)")</f>
        <v/>
      </c>
      <c r="I12" s="657" t="str">
        <f>IF('F0 - Données générales'!C3="horaire","",F13/365)</f>
        <v/>
      </c>
      <c r="J12" s="657"/>
      <c r="K12" s="657"/>
    </row>
    <row r="13" spans="1:11" x14ac:dyDescent="0.3">
      <c r="A13" s="509" t="s">
        <v>94</v>
      </c>
      <c r="B13" s="509">
        <f>SUM(B3:B12)</f>
        <v>0</v>
      </c>
      <c r="C13" s="580">
        <f>SUM(C3:C12)</f>
        <v>0</v>
      </c>
      <c r="D13" s="247"/>
      <c r="F13" s="580" t="str">
        <f>IF('F0 - Données générales'!$C$3="horaire","",SUM(F3:F12))</f>
        <v/>
      </c>
      <c r="G13" s="579"/>
      <c r="H13" s="247"/>
    </row>
    <row r="14" spans="1:11" x14ac:dyDescent="0.3">
      <c r="A14" s="247"/>
      <c r="B14" s="581" t="s">
        <v>724</v>
      </c>
      <c r="C14" s="580">
        <f>B13-C13</f>
        <v>0</v>
      </c>
      <c r="D14" s="247"/>
      <c r="E14" s="247"/>
      <c r="G14" s="247"/>
      <c r="H14" s="247"/>
    </row>
    <row r="15" spans="1:11" x14ac:dyDescent="0.3">
      <c r="A15" s="247"/>
      <c r="B15" s="247"/>
      <c r="C15" s="247"/>
      <c r="D15" s="247"/>
      <c r="E15" s="247"/>
      <c r="F15" s="526"/>
      <c r="G15" s="247"/>
      <c r="H15" s="247"/>
    </row>
    <row r="16" spans="1:11" x14ac:dyDescent="0.3">
      <c r="A16" s="247"/>
      <c r="B16" s="247"/>
      <c r="C16" s="247"/>
      <c r="D16" s="247"/>
      <c r="E16" s="582"/>
      <c r="F16" s="247"/>
      <c r="G16" s="247"/>
      <c r="H16" s="247"/>
    </row>
    <row r="17" spans="1:9" ht="15.6" x14ac:dyDescent="0.3">
      <c r="A17" s="538" t="s">
        <v>723</v>
      </c>
      <c r="B17" s="247"/>
      <c r="C17" s="247"/>
      <c r="D17" s="247"/>
      <c r="E17" s="247"/>
      <c r="F17" s="247"/>
      <c r="G17" s="247"/>
      <c r="H17" s="247"/>
    </row>
    <row r="18" spans="1:9" x14ac:dyDescent="0.3">
      <c r="A18" s="509" t="s">
        <v>688</v>
      </c>
      <c r="B18" s="509" t="s">
        <v>56</v>
      </c>
      <c r="C18" s="509" t="s">
        <v>687</v>
      </c>
      <c r="D18" s="509" t="s">
        <v>127</v>
      </c>
      <c r="E18" s="509" t="s">
        <v>760</v>
      </c>
      <c r="F18" s="247"/>
      <c r="G18" s="247"/>
      <c r="H18" s="247"/>
    </row>
    <row r="19" spans="1:9" x14ac:dyDescent="0.3">
      <c r="A19" s="583" t="s">
        <v>96</v>
      </c>
      <c r="B19" s="578">
        <f>IF('F0 - Données générales'!C3="horaire",'F3 - Relevé du personnel'!BG18+'F3 - Relevé du personnel'!BG19+'F3 - Relevé du personnel'!BG21+'F3 - Relevé du personnel'!BG23,'F3 - Relevé du personnel'!BH18+'F3 - Relevé du personnel'!BH19+'F3 - Relevé du personnel'!BH21+'F3 - Relevé du personnel'!BH23)</f>
        <v>0</v>
      </c>
      <c r="C19" s="584">
        <f>'F3 - Relevé du personnel'!BO18+'F3 - Relevé du personnel'!BO19+'F3 - Relevé du personnel'!BO21+'F3 - Relevé du personnel'!BO23</f>
        <v>0</v>
      </c>
      <c r="D19" s="578" t="str">
        <f>IF(B19=0,"",(IF('F3 - Relevé du personnel'!BQ18="",0,'F3 - Relevé du personnel'!BQ18)*'F3 - Relevé du personnel'!BG18)+(IF('F3 - Relevé du personnel'!BQ19="",0,'F3 - Relevé du personnel'!BQ19)*'F3 - Relevé du personnel'!BG19)+(IF('F3 - Relevé du personnel'!BQ21="",0,'F3 - Relevé du personnel'!BQ21)*'F3 - Relevé du personnel'!BG21)+(IF('F3 - Relevé du personnel'!BQ23="",0,'F3 - Relevé du personnel'!BQ23)*'F3 - Relevé du personnel'!BG23)/B19)</f>
        <v/>
      </c>
      <c r="E19" s="505" t="str">
        <f>IF(B19=0,"",C19/B19)</f>
        <v/>
      </c>
      <c r="F19" s="247"/>
      <c r="G19" s="247"/>
      <c r="H19" s="247"/>
    </row>
    <row r="20" spans="1:9" x14ac:dyDescent="0.3">
      <c r="A20" s="583" t="s">
        <v>277</v>
      </c>
      <c r="B20" s="578">
        <f>IF('F0 - Données générales'!C3="horaire",'F3 - Relevé du personnel'!BG17+'F3 - Relevé du personnel'!BG24,'F3 - Relevé du personnel'!BH17+'F3 - Relevé du personnel'!BH24)</f>
        <v>0</v>
      </c>
      <c r="C20" s="584">
        <f>'F3 - Relevé du personnel'!BO17+'F3 - Relevé du personnel'!BO24</f>
        <v>0</v>
      </c>
      <c r="D20" s="578" t="str">
        <f>IF(B20=0,"",(IF('F3 - Relevé du personnel'!BQ17="",0,'F3 - Relevé du personnel'!BQ17)*'F3 - Relevé du personnel'!BG17)+(IF('F3 - Relevé du personnel'!BQ24="",0,'F3 - Relevé du personnel'!BQ24)*'F3 - Relevé du personnel'!BG24)/B20)</f>
        <v/>
      </c>
      <c r="E20" s="505" t="str">
        <f t="shared" ref="E20:E29" si="0">IF(B20=0,"",C20/B20)</f>
        <v/>
      </c>
      <c r="F20" s="247"/>
      <c r="G20" s="247"/>
      <c r="H20" s="247"/>
    </row>
    <row r="21" spans="1:9" x14ac:dyDescent="0.3">
      <c r="A21" s="583" t="s">
        <v>278</v>
      </c>
      <c r="B21" s="578">
        <f>IF('F0 - Données générales'!C3="horaire",'F3 - Relevé du personnel'!BG25,'F3 - Relevé du personnel'!BH25)</f>
        <v>0</v>
      </c>
      <c r="C21" s="584">
        <f>'F3 - Relevé du personnel'!BO25</f>
        <v>0</v>
      </c>
      <c r="D21" s="578" t="str">
        <f>IF(B21=0,"",'F3 - Relevé du personnel'!BQ25/B21)</f>
        <v/>
      </c>
      <c r="E21" s="505" t="str">
        <f t="shared" si="0"/>
        <v/>
      </c>
      <c r="F21" s="247"/>
      <c r="G21" s="247"/>
      <c r="H21" s="247"/>
      <c r="I21" s="247"/>
    </row>
    <row r="22" spans="1:9" x14ac:dyDescent="0.3">
      <c r="A22" s="583" t="s">
        <v>279</v>
      </c>
      <c r="B22" s="578">
        <f>IF('F0 - Données générales'!C3="horaire",'F3 - Relevé du personnel'!BG12+'F3 - Relevé du personnel'!BG16+'F3 - Relevé du personnel'!BH26,'F3 - Relevé du personnel'!BH12+'F3 - Relevé du personnel'!BH16+'F3 - Relevé du personnel'!BH26)</f>
        <v>0</v>
      </c>
      <c r="C22" s="584">
        <f>'F3 - Relevé du personnel'!BO12+'F3 - Relevé du personnel'!BO16+'F3 - Relevé du personnel'!BO26</f>
        <v>0</v>
      </c>
      <c r="D22" s="578" t="str">
        <f>IF(B22=0,"",(IF('F3 - Relevé du personnel'!BQ12="",0,'F3 - Relevé du personnel'!BQ12)*'F3 - Relevé du personnel'!BG12)+(IF('F3 - Relevé du personnel'!BQ16="",0,'F3 - Relevé du personnel'!BQ16)*'F3 - Relevé du personnel'!BG16)+(IF('F3 - Relevé du personnel'!BQ26="",0,'F3 - Relevé du personnel'!BQ26)*'F3 - Relevé du personnel'!BG26)/B22)</f>
        <v/>
      </c>
      <c r="E22" s="505" t="str">
        <f t="shared" si="0"/>
        <v/>
      </c>
      <c r="F22" s="247"/>
      <c r="G22" s="247"/>
      <c r="H22" s="247"/>
    </row>
    <row r="23" spans="1:9" x14ac:dyDescent="0.3">
      <c r="A23" s="583" t="s">
        <v>280</v>
      </c>
      <c r="B23" s="578">
        <f>IF('F0 - Données générales'!C3="horaire",'F3 - Relevé du personnel'!BG5+'F3 - Relevé du personnel'!BG10+'F3 - Relevé du personnel'!BG11+'F3 - Relevé du personnel'!BG27,'F3 - Relevé du personnel'!BH5+'F3 - Relevé du personnel'!BH10+'F3 - Relevé du personnel'!BH11+'F3 - Relevé du personnel'!BH27)</f>
        <v>0</v>
      </c>
      <c r="C23" s="584">
        <f>'F3 - Relevé du personnel'!BO5+'F3 - Relevé du personnel'!BO10+'F3 - Relevé du personnel'!BO11+'F3 - Relevé du personnel'!BO27</f>
        <v>0</v>
      </c>
      <c r="D23" s="578" t="str">
        <f>IF(B23=0,"",(IF('F3 - Relevé du personnel'!BQ5="",0,'F3 - Relevé du personnel'!BQ5)*'F3 - Relevé du personnel'!BG5)+(IF('F3 - Relevé du personnel'!BQ10="",0,'F3 - Relevé du personnel'!BQ10)*'F3 - Relevé du personnel'!BG10)+(IF('F3 - Relevé du personnel'!BQ11="",0,'F3 - Relevé du personnel'!BQ11)*'F3 - Relevé du personnel'!BG11)+(IF('F3 - Relevé du personnel'!BQ27="",0,'F3 - Relevé du personnel'!BQ27)*'F3 - Relevé du personnel'!BG27)/B23)</f>
        <v/>
      </c>
      <c r="E23" s="505" t="str">
        <f t="shared" si="0"/>
        <v/>
      </c>
      <c r="F23" s="247"/>
      <c r="G23" s="247"/>
      <c r="H23" s="247"/>
    </row>
    <row r="24" spans="1:9" x14ac:dyDescent="0.3">
      <c r="A24" s="583" t="s">
        <v>97</v>
      </c>
      <c r="B24" s="578">
        <f>IF('F0 - Données générales'!C3="horaire",'F3 - Relevé du personnel'!BG8+'F3 - Relevé du personnel'!BG9+'F3 - Relevé du personnel'!BG15+'F3 - Relevé du personnel'!BG28,'F3 - Relevé du personnel'!BH8+'F3 - Relevé du personnel'!BH9+'F3 - Relevé du personnel'!BH15+'F3 - Relevé du personnel'!BH28)</f>
        <v>0</v>
      </c>
      <c r="C24" s="584">
        <f>'F3 - Relevé du personnel'!BO8+'F3 - Relevé du personnel'!BO9+'F3 - Relevé du personnel'!BO15+'F3 - Relevé du personnel'!BO28</f>
        <v>0</v>
      </c>
      <c r="D24" s="578" t="str">
        <f>IF(B24=0,"",(IF('F3 - Relevé du personnel'!BQ8="",0,'F3 - Relevé du personnel'!BQ8)*'F3 - Relevé du personnel'!BG8)+(IF('F3 - Relevé du personnel'!BQ9="",0,'F3 - Relevé du personnel'!BQ9)*'F3 - Relevé du personnel'!BG9)+(IF('F3 - Relevé du personnel'!BQ15="",0,'F3 - Relevé du personnel'!BQ15)*'F3 - Relevé du personnel'!BG15)+(IF('F3 - Relevé du personnel'!BQ28="",0,'F3 - Relevé du personnel'!BQ28)*'F3 - Relevé du personnel'!BG28)/B24)</f>
        <v/>
      </c>
      <c r="E24" s="505" t="str">
        <f t="shared" si="0"/>
        <v/>
      </c>
      <c r="F24" s="247"/>
      <c r="G24" s="247"/>
      <c r="H24" s="247"/>
    </row>
    <row r="25" spans="1:9" x14ac:dyDescent="0.3">
      <c r="A25" s="583" t="s">
        <v>98</v>
      </c>
      <c r="B25" s="578">
        <f>IF('F0 - Données générales'!C3="horaire",'F3 - Relevé du personnel'!BG29,'F3 - Relevé du personnel'!BH29)</f>
        <v>0</v>
      </c>
      <c r="C25" s="584">
        <f>'F3 - Relevé du personnel'!BO29</f>
        <v>0</v>
      </c>
      <c r="D25" s="578" t="str">
        <f>IF(B25=0,"",'F3 - Relevé du personnel'!BQ29/B25)</f>
        <v/>
      </c>
      <c r="E25" s="505" t="str">
        <f t="shared" si="0"/>
        <v/>
      </c>
      <c r="F25" s="247"/>
      <c r="G25" s="247"/>
      <c r="H25" s="247"/>
    </row>
    <row r="26" spans="1:9" x14ac:dyDescent="0.3">
      <c r="A26" s="583" t="s">
        <v>319</v>
      </c>
      <c r="B26" s="578">
        <f>IF('F0 - Données générales'!C3="horaire",'F3 - Relevé du personnel'!BG30,'F3 - Relevé du personnel'!BH30)</f>
        <v>0</v>
      </c>
      <c r="C26" s="584">
        <f>'F3 - Relevé du personnel'!BO30</f>
        <v>0</v>
      </c>
      <c r="D26" s="578" t="str">
        <f>IF(B26=0,"",'F3 - Relevé du personnel'!BQ30/B26)</f>
        <v/>
      </c>
      <c r="E26" s="505" t="str">
        <f t="shared" si="0"/>
        <v/>
      </c>
      <c r="F26" s="247"/>
      <c r="G26" s="247"/>
      <c r="H26" s="247"/>
    </row>
    <row r="27" spans="1:9" x14ac:dyDescent="0.3">
      <c r="A27" s="583" t="s">
        <v>99</v>
      </c>
      <c r="B27" s="578">
        <f>IF('F0 - Données générales'!C3="horaire",'F3 - Relevé du personnel'!BG4+'F3 - Relevé du personnel'!BG7+'F3 - Relevé du personnel'!BG31,'F3 - Relevé du personnel'!BH4+'F3 - Relevé du personnel'!BH7+'F3 - Relevé du personnel'!BH31)</f>
        <v>0</v>
      </c>
      <c r="C27" s="584">
        <f>'F3 - Relevé du personnel'!BO4+'F3 - Relevé du personnel'!BO7+'F3 - Relevé du personnel'!BO31</f>
        <v>0</v>
      </c>
      <c r="D27" s="578" t="str">
        <f>IF(B27=0,"",(IF('F3 - Relevé du personnel'!BQ4="",0,'F3 - Relevé du personnel'!BQ4)*'F3 - Relevé du personnel'!BG4)+(IF('F3 - Relevé du personnel'!BQ7="",0,'F3 - Relevé du personnel'!BQ7)*'F3 - Relevé du personnel'!BG7)+(IF('F3 - Relevé du personnel'!BQ31="",0,'F3 - Relevé du personnel'!BQ31)*'F3 - Relevé du personnel'!BG31)/B27)</f>
        <v/>
      </c>
      <c r="E27" s="505" t="str">
        <f t="shared" si="0"/>
        <v/>
      </c>
      <c r="F27" s="247"/>
      <c r="G27" s="247"/>
      <c r="H27" s="247"/>
    </row>
    <row r="28" spans="1:9" x14ac:dyDescent="0.3">
      <c r="A28" s="583" t="s">
        <v>100</v>
      </c>
      <c r="B28" s="578">
        <f>IF('F0 - Données générales'!C3="horaire",'F3 - Relevé du personnel'!BG6+'F3 - Relevé du personnel'!BG14+'F3 - Relevé du personnel'!BG32,'F3 - Relevé du personnel'!BH6+'F3 - Relevé du personnel'!BH14+'F3 - Relevé du personnel'!BH32)</f>
        <v>0</v>
      </c>
      <c r="C28" s="584">
        <f>'F3 - Relevé du personnel'!BO6+'F3 - Relevé du personnel'!BO14+'F3 - Relevé du personnel'!BO32</f>
        <v>0</v>
      </c>
      <c r="D28" s="578" t="str">
        <f>IF(B28=0,"",(IF('F3 - Relevé du personnel'!BQ14="",0,'F3 - Relevé du personnel'!BQ14)*'F3 - Relevé du personnel'!BG14)+(IF('F3 - Relevé du personnel'!BQ32="",0,'F3 - Relevé du personnel'!BQ32)*'F3 - Relevé du personnel'!BG32)+(IF('F3 - Relevé du personnel'!BQ6="",0,'F3 - Relevé du personnel'!BQ6)*'F3 - Relevé du personnel'!BG6)/B28)</f>
        <v/>
      </c>
      <c r="E28" s="505" t="str">
        <f t="shared" si="0"/>
        <v/>
      </c>
      <c r="F28" s="578" t="s">
        <v>719</v>
      </c>
      <c r="G28" s="578" t="s">
        <v>710</v>
      </c>
      <c r="H28" s="247"/>
    </row>
    <row r="29" spans="1:9" x14ac:dyDescent="0.3">
      <c r="A29" s="509" t="s">
        <v>94</v>
      </c>
      <c r="B29" s="509">
        <f>SUM(B19:B28)</f>
        <v>0</v>
      </c>
      <c r="C29" s="580">
        <f>SUM(C19:C28)</f>
        <v>0</v>
      </c>
      <c r="D29" s="509" t="str">
        <f>IF(B29=0,"",(SUMPRODUCT(B19:B28,D19:D28))/B29)</f>
        <v/>
      </c>
      <c r="E29" s="508" t="str">
        <f t="shared" si="0"/>
        <v/>
      </c>
      <c r="F29" s="585" t="e">
        <f>C29/C13</f>
        <v>#DIV/0!</v>
      </c>
      <c r="G29" s="578"/>
      <c r="H29" s="247"/>
    </row>
    <row r="30" spans="1:9" x14ac:dyDescent="0.3">
      <c r="A30" s="247"/>
      <c r="B30" s="526"/>
      <c r="C30" s="526"/>
      <c r="D30" s="247"/>
      <c r="E30" s="247"/>
      <c r="F30" s="247"/>
      <c r="G30" s="247"/>
      <c r="H30" s="247"/>
    </row>
    <row r="31" spans="1:9" ht="15.6" x14ac:dyDescent="0.3">
      <c r="A31" s="538" t="s">
        <v>694</v>
      </c>
      <c r="B31" s="247"/>
      <c r="C31" s="247"/>
      <c r="D31" s="247"/>
      <c r="E31" s="247"/>
      <c r="F31" s="247"/>
      <c r="G31" s="247"/>
      <c r="H31" s="247"/>
    </row>
    <row r="32" spans="1:9" x14ac:dyDescent="0.3">
      <c r="A32" s="509" t="s">
        <v>688</v>
      </c>
      <c r="B32" s="509" t="s">
        <v>56</v>
      </c>
      <c r="C32" s="509" t="s">
        <v>687</v>
      </c>
      <c r="D32" s="509" t="s">
        <v>127</v>
      </c>
      <c r="E32" s="247"/>
      <c r="F32" s="247"/>
      <c r="G32" s="247"/>
      <c r="H32" s="247"/>
    </row>
    <row r="33" spans="1:8" x14ac:dyDescent="0.3">
      <c r="A33" s="586" t="s">
        <v>96</v>
      </c>
      <c r="B33" s="587">
        <f>'F3 - Relevé du personnel'!BG57+'F3 - Relevé du personnel'!BG58+'F3 - Relevé du personnel'!BG60+'F3 - Relevé du personnel'!BG62</f>
        <v>0</v>
      </c>
      <c r="C33" s="587">
        <f>'F3 - Relevé du personnel'!BN57+'F3 - Relevé du personnel'!BN58+'F3 - Relevé du personnel'!BN60+'F3 - Relevé du personnel'!BN62</f>
        <v>0</v>
      </c>
      <c r="D33" s="578" t="str">
        <f>IF(B33=0,"",(IF('F3 - Relevé du personnel'!BP57="",0,'F3 - Relevé du personnel'!BP57)*'F3 - Relevé du personnel'!BG57)+(IF('F3 - Relevé du personnel'!BP58="",0,'F3 - Relevé du personnel'!BP58)*'F3 - Relevé du personnel'!BG58)+(IF('F3 - Relevé du personnel'!BP60="",0,'F3 - Relevé du personnel'!BP60)*'F3 - Relevé du personnel'!BG60)+(IF('F3 - Relevé du personnel'!BP62="",0,'F3 - Relevé du personnel'!BP62)*'F3 - Relevé du personnel'!BG62)/B33)</f>
        <v/>
      </c>
      <c r="E33" s="247"/>
      <c r="F33" s="247"/>
      <c r="G33" s="247"/>
      <c r="H33" s="247"/>
    </row>
    <row r="34" spans="1:8" x14ac:dyDescent="0.3">
      <c r="A34" s="588" t="s">
        <v>277</v>
      </c>
      <c r="B34" s="578">
        <f>'F3 - Relevé du personnel'!BG56+'F3 - Relevé du personnel'!BG63</f>
        <v>0</v>
      </c>
      <c r="C34" s="578">
        <f>'F3 - Relevé du personnel'!BN56+'F3 - Relevé du personnel'!BN63</f>
        <v>0</v>
      </c>
      <c r="D34" s="578" t="str">
        <f>IF(B34=0,"",(IF('F3 - Relevé du personnel'!BP56="",0,'F3 - Relevé du personnel'!BP56)*'F3 - Relevé du personnel'!BG56)+(IF('F3 - Relevé du personnel'!BP63="",0,'F3 - Relevé du personnel'!BP63)*'F3 - Relevé du personnel'!BG63)/B34)</f>
        <v/>
      </c>
      <c r="E34" s="247"/>
      <c r="F34" s="247"/>
      <c r="G34" s="247"/>
      <c r="H34" s="247"/>
    </row>
    <row r="35" spans="1:8" x14ac:dyDescent="0.3">
      <c r="A35" s="588" t="s">
        <v>278</v>
      </c>
      <c r="B35" s="578">
        <f>'F3 - Relevé du personnel'!BG64</f>
        <v>0</v>
      </c>
      <c r="C35" s="578">
        <f>'F3 - Relevé du personnel'!BN64</f>
        <v>0</v>
      </c>
      <c r="D35" s="578" t="str">
        <f>IF(B35=0,"",'F3 - Relevé du personnel'!BP64)</f>
        <v/>
      </c>
      <c r="E35" s="247"/>
      <c r="F35" s="247"/>
      <c r="G35" s="247"/>
      <c r="H35" s="247"/>
    </row>
    <row r="36" spans="1:8" x14ac:dyDescent="0.3">
      <c r="A36" s="588" t="s">
        <v>279</v>
      </c>
      <c r="B36" s="578">
        <f>'F3 - Relevé du personnel'!BG51+'F3 - Relevé du personnel'!BG55+'F3 - Relevé du personnel'!BG65</f>
        <v>0</v>
      </c>
      <c r="C36" s="578">
        <f>'F3 - Relevé du personnel'!BN51+'F3 - Relevé du personnel'!BN55+'F3 - Relevé du personnel'!BN65</f>
        <v>0</v>
      </c>
      <c r="D36" s="578" t="str">
        <f>IF(B36=0,"",(IF('F3 - Relevé du personnel'!BP51="",0,'F3 - Relevé du personnel'!BP51)*'F3 - Relevé du personnel'!BG51)+(IF('F3 - Relevé du personnel'!BP55="",0,'F3 - Relevé du personnel'!BP55)*'F3 - Relevé du personnel'!BG55)+(IF('F3 - Relevé du personnel'!BP65="",0,'F3 - Relevé du personnel'!BP65)*'F3 - Relevé du personnel'!BG65)/B36)</f>
        <v/>
      </c>
      <c r="E36" s="247"/>
      <c r="F36" s="247"/>
      <c r="G36" s="247"/>
      <c r="H36" s="247"/>
    </row>
    <row r="37" spans="1:8" x14ac:dyDescent="0.3">
      <c r="A37" s="588" t="s">
        <v>280</v>
      </c>
      <c r="B37" s="578">
        <f>'F3 - Relevé du personnel'!BG44+'F3 - Relevé du personnel'!BG49+'F3 - Relevé du personnel'!BG50+'F3 - Relevé du personnel'!BG66</f>
        <v>0</v>
      </c>
      <c r="C37" s="578">
        <f>'F3 - Relevé du personnel'!BN44+'F3 - Relevé du personnel'!BN49+'F3 - Relevé du personnel'!BN50+'F3 - Relevé du personnel'!BN66</f>
        <v>0</v>
      </c>
      <c r="D37" s="578" t="str">
        <f>IF(B37=0,"",(IF('F3 - Relevé du personnel'!BP44="",0,'F3 - Relevé du personnel'!BP44)*'F3 - Relevé du personnel'!BG44)+(IF('F3 - Relevé du personnel'!BP49="",0,'F3 - Relevé du personnel'!BP49)*'F3 - Relevé du personnel'!BG49)+(IF('F3 - Relevé du personnel'!BP50="",0,'F3 - Relevé du personnel'!BP50)*'F3 - Relevé du personnel'!BG50)+(IF('F3 - Relevé du personnel'!BP66="",0,'F3 - Relevé du personnel'!BP66)*'F3 - Relevé du personnel'!BG66)/B37)</f>
        <v/>
      </c>
      <c r="E37" s="247"/>
      <c r="F37" s="247"/>
      <c r="G37" s="247"/>
      <c r="H37" s="247"/>
    </row>
    <row r="38" spans="1:8" x14ac:dyDescent="0.3">
      <c r="A38" s="588" t="s">
        <v>97</v>
      </c>
      <c r="B38" s="578">
        <f>'F3 - Relevé du personnel'!BG47+'F3 - Relevé du personnel'!BG48+'F3 - Relevé du personnel'!BG54+'F3 - Relevé du personnel'!BG67</f>
        <v>0</v>
      </c>
      <c r="C38" s="578">
        <f>'F3 - Relevé du personnel'!BN47+'F3 - Relevé du personnel'!BN48+'F3 - Relevé du personnel'!BN54+'F3 - Relevé du personnel'!BN67</f>
        <v>0</v>
      </c>
      <c r="D38" s="578" t="str">
        <f>IF(B38=0,"",(IF('F3 - Relevé du personnel'!BP47="",0,'F3 - Relevé du personnel'!BP47)*'F3 - Relevé du personnel'!BG47)+(IF('F3 - Relevé du personnel'!BP48="",0,'F3 - Relevé du personnel'!BP48)*'F3 - Relevé du personnel'!BG48)+(IF('F3 - Relevé du personnel'!BP54="",0,'F3 - Relevé du personnel'!BP54)*'F3 - Relevé du personnel'!BG54)+(IF('F3 - Relevé du personnel'!BP67="",0,'F3 - Relevé du personnel'!BP67)*'F3 - Relevé du personnel'!BG67)/B38)</f>
        <v/>
      </c>
      <c r="E38" s="247"/>
      <c r="F38" s="526"/>
      <c r="G38" s="247"/>
      <c r="H38" s="247"/>
    </row>
    <row r="39" spans="1:8" x14ac:dyDescent="0.3">
      <c r="A39" s="588" t="s">
        <v>98</v>
      </c>
      <c r="B39" s="578">
        <f>'F3 - Relevé du personnel'!BG68</f>
        <v>0</v>
      </c>
      <c r="C39" s="578">
        <f>'F3 - Relevé du personnel'!BN68</f>
        <v>0</v>
      </c>
      <c r="D39" s="578" t="str">
        <f>IF(B39=0,"",'F3 - Relevé du personnel'!BP68)</f>
        <v/>
      </c>
      <c r="E39" s="247"/>
      <c r="F39" s="526"/>
      <c r="G39" s="247"/>
      <c r="H39" s="247"/>
    </row>
    <row r="40" spans="1:8" x14ac:dyDescent="0.3">
      <c r="A40" s="588" t="s">
        <v>319</v>
      </c>
      <c r="B40" s="578">
        <f>'F3 - Relevé du personnel'!BG69</f>
        <v>0</v>
      </c>
      <c r="C40" s="578">
        <f>'F3 - Relevé du personnel'!BN69</f>
        <v>0</v>
      </c>
      <c r="D40" s="578" t="str">
        <f>IF(B40=0,"",'F3 - Relevé du personnel'!BP69)</f>
        <v/>
      </c>
      <c r="E40" s="247"/>
      <c r="F40" s="526"/>
      <c r="G40" s="247"/>
      <c r="H40" s="247"/>
    </row>
    <row r="41" spans="1:8" x14ac:dyDescent="0.3">
      <c r="A41" s="588" t="s">
        <v>99</v>
      </c>
      <c r="B41" s="578">
        <f>'F3 - Relevé du personnel'!BG43+'F3 - Relevé du personnel'!BG44+'F3 - Relevé du personnel'!BG70</f>
        <v>0</v>
      </c>
      <c r="C41" s="578">
        <f>'F3 - Relevé du personnel'!BN43+'F3 - Relevé du personnel'!BN44+'F3 - Relevé du personnel'!BN70</f>
        <v>0</v>
      </c>
      <c r="D41" s="578" t="str">
        <f>IF(B41=0,"",(IF('F3 - Relevé du personnel'!BP43="",0,'F3 - Relevé du personnel'!BP43)*'F3 - Relevé du personnel'!BG43)+(IF('F3 - Relevé du personnel'!BP44="",0,'F3 - Relevé du personnel'!BP44)*'F3 - Relevé du personnel'!BG44)+(IF('F3 - Relevé du personnel'!BP70="",0,'F3 - Relevé du personnel'!BP70)*'F3 - Relevé du personnel'!BG70)/B41)</f>
        <v/>
      </c>
      <c r="E41" s="247"/>
      <c r="F41" s="526"/>
      <c r="G41" s="247"/>
      <c r="H41" s="247"/>
    </row>
    <row r="42" spans="1:8" x14ac:dyDescent="0.3">
      <c r="A42" s="588" t="s">
        <v>100</v>
      </c>
      <c r="B42" s="578">
        <f>'F3 - Relevé du personnel'!BG45+'F3 - Relevé du personnel'!BG53+'F3 - Relevé du personnel'!BG71</f>
        <v>0</v>
      </c>
      <c r="C42" s="578">
        <f>'F3 - Relevé du personnel'!BN45+'F3 - Relevé du personnel'!BN53+'F3 - Relevé du personnel'!BN71</f>
        <v>0</v>
      </c>
      <c r="D42" s="578" t="str">
        <f>IF(B42=0,"",(IF('F3 - Relevé du personnel'!BP45="",0,'F3 - Relevé du personnel'!BP45)*'F3 - Relevé du personnel'!BG45)+(IF('F3 - Relevé du personnel'!BP53="",0,'F3 - Relevé du personnel'!BP53)*'F3 - Relevé du personnel'!BG53)+(IF('F3 - Relevé du personnel'!BP71="",0,'F3 - Relevé du personnel'!BP71)*'F3 - Relevé du personnel'!BG71)/B42)</f>
        <v/>
      </c>
      <c r="E42" s="247"/>
      <c r="F42" s="578" t="s">
        <v>719</v>
      </c>
      <c r="G42" s="578" t="s">
        <v>710</v>
      </c>
      <c r="H42" s="247"/>
    </row>
    <row r="43" spans="1:8" x14ac:dyDescent="0.3">
      <c r="A43" s="509" t="s">
        <v>94</v>
      </c>
      <c r="B43" s="509">
        <f>SUM(B33:B42)</f>
        <v>0</v>
      </c>
      <c r="C43" s="524">
        <f>SUM(C33:C42)</f>
        <v>0</v>
      </c>
      <c r="D43" s="509" t="str">
        <f>IF(B43=0,"",(SUMPRODUCT(B33:B42,D33:D42))/B43)</f>
        <v/>
      </c>
      <c r="E43" s="247"/>
      <c r="F43" s="585" t="e">
        <f>C43/C13</f>
        <v>#DIV/0!</v>
      </c>
      <c r="G43" s="578"/>
      <c r="H43" s="247"/>
    </row>
    <row r="44" spans="1:8" x14ac:dyDescent="0.3">
      <c r="A44" s="68"/>
      <c r="B44" s="526"/>
      <c r="C44" s="526" t="s">
        <v>722</v>
      </c>
      <c r="D44" s="247"/>
      <c r="E44" s="247"/>
      <c r="F44" s="526"/>
      <c r="G44" s="247"/>
      <c r="H44" s="247"/>
    </row>
    <row r="45" spans="1:8" ht="16.95" customHeight="1" x14ac:dyDescent="0.3">
      <c r="A45" s="538" t="s">
        <v>693</v>
      </c>
      <c r="B45" s="247"/>
      <c r="C45" s="526"/>
      <c r="D45" s="247"/>
      <c r="E45" s="247"/>
      <c r="F45" s="247"/>
      <c r="G45" s="247"/>
      <c r="H45" s="247"/>
    </row>
    <row r="46" spans="1:8" x14ac:dyDescent="0.3">
      <c r="A46" s="509" t="s">
        <v>688</v>
      </c>
      <c r="B46" s="509" t="s">
        <v>56</v>
      </c>
      <c r="C46" s="509" t="s">
        <v>687</v>
      </c>
      <c r="D46" s="509" t="s">
        <v>127</v>
      </c>
      <c r="E46" s="247"/>
      <c r="F46" s="247"/>
      <c r="G46" s="247"/>
      <c r="H46" s="247"/>
    </row>
    <row r="47" spans="1:8" x14ac:dyDescent="0.3">
      <c r="A47" s="583" t="s">
        <v>96</v>
      </c>
      <c r="B47" s="587">
        <f>'F3 - Relevé du personnel'!BG96+'F3 - Relevé du personnel'!BG97+'F3 - Relevé du personnel'!BG99+'F3 - Relevé du personnel'!BG101</f>
        <v>0</v>
      </c>
      <c r="C47" s="587">
        <f>'F3 - Relevé du personnel'!BN96+'F3 - Relevé du personnel'!BN97+'F3 - Relevé du personnel'!BN99+'F3 - Relevé du personnel'!BN101</f>
        <v>0</v>
      </c>
      <c r="D47" s="578" t="str">
        <f>IF(B47=0,"",(IF('F3 - Relevé du personnel'!BP96="",0,'F3 - Relevé du personnel'!BP96)*'F3 - Relevé du personnel'!BG96)+(IF('F3 - Relevé du personnel'!BP97="",0,'F3 - Relevé du personnel'!BP97)*'F3 - Relevé du personnel'!BG97)+(IF('F3 - Relevé du personnel'!BP99="",0,'F3 - Relevé du personnel'!BP99)*'F3 - Relevé du personnel'!BG99)+(IF('F3 - Relevé du personnel'!BP101="",0,'F3 - Relevé du personnel'!BP101)*'F3 - Relevé du personnel'!BG101)/B47)</f>
        <v/>
      </c>
      <c r="E47" s="247"/>
      <c r="F47" s="247"/>
      <c r="G47" s="247"/>
      <c r="H47" s="247"/>
    </row>
    <row r="48" spans="1:8" x14ac:dyDescent="0.3">
      <c r="A48" s="583" t="s">
        <v>277</v>
      </c>
      <c r="B48" s="578">
        <f>'F3 - Relevé du personnel'!B95+'F3 - Relevé du personnel'!BG102</f>
        <v>7</v>
      </c>
      <c r="C48" s="578">
        <f>'F3 - Relevé du personnel'!BN95+'F3 - Relevé du personnel'!BN102</f>
        <v>0</v>
      </c>
      <c r="D48" s="578">
        <f>IF(B48=0,"",(IF('F3 - Relevé du personnel'!BP102="",0,'F3 - Relevé du personnel'!BP102)*'F3 - Relevé du personnel'!BG102)+(IF('F3 - Relevé du personnel'!BP95="",0,'F3 - Relevé du personnel'!BP95)*'F3 - Relevé du personnel'!BG95)/B48)</f>
        <v>0</v>
      </c>
      <c r="E48" s="247"/>
      <c r="F48" s="247"/>
      <c r="G48" s="247"/>
      <c r="H48" s="247"/>
    </row>
    <row r="49" spans="1:8" x14ac:dyDescent="0.3">
      <c r="A49" s="583" t="s">
        <v>278</v>
      </c>
      <c r="B49" s="578">
        <f>'F3 - Relevé du personnel'!BG103</f>
        <v>0</v>
      </c>
      <c r="C49" s="578">
        <f>'F3 - Relevé du personnel'!BN103</f>
        <v>0</v>
      </c>
      <c r="D49" s="578" t="str">
        <f>IF(B49=0,"",'F3 - Relevé du personnel'!BP103)</f>
        <v/>
      </c>
      <c r="E49" s="247"/>
      <c r="F49" s="247"/>
      <c r="G49" s="247"/>
      <c r="H49" s="247"/>
    </row>
    <row r="50" spans="1:8" x14ac:dyDescent="0.3">
      <c r="A50" s="583" t="s">
        <v>279</v>
      </c>
      <c r="B50" s="578">
        <f>'F3 - Relevé du personnel'!BG90+'F3 - Relevé du personnel'!BG94+'F3 - Relevé du personnel'!BG104</f>
        <v>0</v>
      </c>
      <c r="C50" s="578">
        <f>'F3 - Relevé du personnel'!BN90+'F3 - Relevé du personnel'!BN94+'F3 - Relevé du personnel'!BN104</f>
        <v>0</v>
      </c>
      <c r="D50" s="578" t="str">
        <f>IF(B50=0,"",(IF('F3 - Relevé du personnel'!BP90="",0,'F3 - Relevé du personnel'!BP90)*'F3 - Relevé du personnel'!BG90)+(IF('F3 - Relevé du personnel'!BP94="",0,'F3 - Relevé du personnel'!BP94)*'F3 - Relevé du personnel'!BG94)+(IF('F3 - Relevé du personnel'!BP104="",0,'F3 - Relevé du personnel'!BP104)*'F3 - Relevé du personnel'!BG104)/B50)</f>
        <v/>
      </c>
      <c r="E50" s="247"/>
      <c r="F50" s="247"/>
      <c r="G50" s="247"/>
      <c r="H50" s="247"/>
    </row>
    <row r="51" spans="1:8" x14ac:dyDescent="0.3">
      <c r="A51" s="583" t="s">
        <v>280</v>
      </c>
      <c r="B51" s="578">
        <f>'F3 - Relevé du personnel'!BG83+'F3 - Relevé du personnel'!BG88+'F3 - Relevé du personnel'!BG89+'F3 - Relevé du personnel'!BG105</f>
        <v>0</v>
      </c>
      <c r="C51" s="578">
        <f>'F3 - Relevé du personnel'!BN83+'F3 - Relevé du personnel'!BN88+'F3 - Relevé du personnel'!BN89+'F3 - Relevé du personnel'!BN105</f>
        <v>0</v>
      </c>
      <c r="D51" s="578" t="str">
        <f>IF(B51=0,"",(IF('F3 - Relevé du personnel'!BP83="",0,'F3 - Relevé du personnel'!BP83)*'F3 - Relevé du personnel'!BG83)+(IF('F3 - Relevé du personnel'!BP88="",0,'F3 - Relevé du personnel'!BP88)*'F3 - Relevé du personnel'!BG88)+(IF('F3 - Relevé du personnel'!BP89="",0,'F3 - Relevé du personnel'!BP89)*'F3 - Relevé du personnel'!BG89)+(IF('F3 - Relevé du personnel'!BP105="",0,'F3 - Relevé du personnel'!BP105)*'F3 - Relevé du personnel'!BG105)/B51)</f>
        <v/>
      </c>
      <c r="E51" s="247"/>
      <c r="F51" s="247"/>
      <c r="G51" s="247"/>
      <c r="H51" s="247"/>
    </row>
    <row r="52" spans="1:8" x14ac:dyDescent="0.3">
      <c r="A52" s="583" t="s">
        <v>721</v>
      </c>
      <c r="B52" s="578">
        <f>'F3 - Relevé du personnel'!BG86+'F3 - Relevé du personnel'!BG87+'F3 - Relevé du personnel'!BG93+'F3 - Relevé du personnel'!BG106</f>
        <v>0</v>
      </c>
      <c r="C52" s="578">
        <f>'F3 - Relevé du personnel'!BN86+'F3 - Relevé du personnel'!BN87+'F3 - Relevé du personnel'!BN93+'F3 - Relevé du personnel'!BN106</f>
        <v>0</v>
      </c>
      <c r="D52" s="578" t="str">
        <f>IF(B52=0,"",(IF('F3 - Relevé du personnel'!BP86="",0,'F3 - Relevé du personnel'!BP86)*'F3 - Relevé du personnel'!BG86)+(IF('F3 - Relevé du personnel'!BP87="",0,'F3 - Relevé du personnel'!BP87)*'F3 - Relevé du personnel'!BG87)+(IF('F3 - Relevé du personnel'!BP93="",0,'F3 - Relevé du personnel'!BP93)*'F3 - Relevé du personnel'!BG93)+(IF('F3 - Relevé du personnel'!BP106="",0,'F3 - Relevé du personnel'!BP106)*'F3 - Relevé du personnel'!BG106)/B52)</f>
        <v/>
      </c>
      <c r="E52" s="247"/>
      <c r="F52" s="247"/>
      <c r="G52" s="247"/>
      <c r="H52" s="247"/>
    </row>
    <row r="53" spans="1:8" x14ac:dyDescent="0.3">
      <c r="A53" s="583" t="s">
        <v>98</v>
      </c>
      <c r="B53" s="578">
        <f>'F3 - Relevé du personnel'!BG107</f>
        <v>0</v>
      </c>
      <c r="C53" s="578">
        <f>'F3 - Relevé du personnel'!BN107</f>
        <v>0</v>
      </c>
      <c r="D53" s="578" t="str">
        <f>IF(B53=0,"",'F3 - Relevé du personnel'!BP107)</f>
        <v/>
      </c>
      <c r="E53" s="247"/>
      <c r="F53" s="247"/>
      <c r="G53" s="247"/>
      <c r="H53" s="247"/>
    </row>
    <row r="54" spans="1:8" x14ac:dyDescent="0.3">
      <c r="A54" s="583" t="s">
        <v>319</v>
      </c>
      <c r="B54" s="578">
        <f>'F3 - Relevé du personnel'!BG108</f>
        <v>0</v>
      </c>
      <c r="C54" s="578">
        <f>'F3 - Relevé du personnel'!BN108</f>
        <v>0</v>
      </c>
      <c r="D54" s="578" t="str">
        <f>IF(B54=0,"",'F3 - Relevé du personnel'!BP108)</f>
        <v/>
      </c>
      <c r="E54" s="247"/>
      <c r="F54" s="247"/>
      <c r="G54" s="247"/>
      <c r="H54" s="247"/>
    </row>
    <row r="55" spans="1:8" x14ac:dyDescent="0.3">
      <c r="A55" s="583" t="s">
        <v>99</v>
      </c>
      <c r="B55" s="578">
        <f>'F3 - Relevé du personnel'!BG82+'F3 - Relevé du personnel'!BG83+'F3 - Relevé du personnel'!BG109</f>
        <v>0</v>
      </c>
      <c r="C55" s="578">
        <f>'F3 - Relevé du personnel'!BN82+'F3 - Relevé du personnel'!BN83+'F3 - Relevé du personnel'!BN109</f>
        <v>0</v>
      </c>
      <c r="D55" s="578" t="str">
        <f>IF(B55=0,"",(IF('F3 - Relevé du personnel'!BP82="",0,'F3 - Relevé du personnel'!BP82)*'F3 - Relevé du personnel'!BG82)+(IF('F3 - Relevé du personnel'!BP83="",0,'F3 - Relevé du personnel'!BP83)*'F3 - Relevé du personnel'!BG83)+(IF('F3 - Relevé du personnel'!BP109="",0,'F3 - Relevé du personnel'!BP109)*'F3 - Relevé du personnel'!BG109)/B55)</f>
        <v/>
      </c>
      <c r="E55" s="247"/>
      <c r="F55" s="247"/>
      <c r="G55" s="247"/>
      <c r="H55" s="247"/>
    </row>
    <row r="56" spans="1:8" x14ac:dyDescent="0.3">
      <c r="A56" s="583" t="s">
        <v>100</v>
      </c>
      <c r="B56" s="578">
        <f>'F3 - Relevé du personnel'!BG84+'F3 - Relevé du personnel'!BG92+'F3 - Relevé du personnel'!BG110</f>
        <v>0</v>
      </c>
      <c r="C56" s="578">
        <f>'F3 - Relevé du personnel'!BN84+'F3 - Relevé du personnel'!BN92+'F3 - Relevé du personnel'!BN110</f>
        <v>0</v>
      </c>
      <c r="D56" s="578" t="str">
        <f>IF(B56=0,"",(IF('F3 - Relevé du personnel'!BP84="",0,'F3 - Relevé du personnel'!BP84)*'F3 - Relevé du personnel'!BG84)+(IF('F3 - Relevé du personnel'!BP92="",0,'F3 - Relevé du personnel'!BP92)*'F3 - Relevé du personnel'!BG92)+(IF('F3 - Relevé du personnel'!BP110="",0,'F3 - Relevé du personnel'!BP110)*'F3 - Relevé du personnel'!BG110)/B56)</f>
        <v/>
      </c>
      <c r="E56" s="247"/>
      <c r="F56" s="578" t="s">
        <v>719</v>
      </c>
      <c r="G56" s="578" t="s">
        <v>710</v>
      </c>
      <c r="H56" s="247"/>
    </row>
    <row r="57" spans="1:8" x14ac:dyDescent="0.3">
      <c r="A57" s="509" t="s">
        <v>94</v>
      </c>
      <c r="B57" s="509">
        <f>SUM(B47:B56)</f>
        <v>7</v>
      </c>
      <c r="C57" s="524">
        <f>SUM(C47:C56)</f>
        <v>0</v>
      </c>
      <c r="D57" s="509">
        <f>IF(B57=0,"",(SUMPRODUCT(B47:B56,D47:D56))/B57)</f>
        <v>0</v>
      </c>
      <c r="E57" s="247"/>
      <c r="F57" s="585" t="e">
        <f>C57/C13</f>
        <v>#DIV/0!</v>
      </c>
      <c r="G57" s="578"/>
      <c r="H57" s="247"/>
    </row>
    <row r="58" spans="1:8" x14ac:dyDescent="0.3">
      <c r="A58" s="526"/>
      <c r="B58" s="526"/>
      <c r="C58" s="526"/>
      <c r="D58" s="247"/>
      <c r="E58" s="247"/>
      <c r="F58" s="526"/>
      <c r="G58" s="247"/>
      <c r="H58" s="247"/>
    </row>
    <row r="59" spans="1:8" ht="15.6" x14ac:dyDescent="0.3">
      <c r="A59" s="538" t="s">
        <v>692</v>
      </c>
      <c r="B59" s="526"/>
      <c r="C59" s="526"/>
      <c r="D59" s="247"/>
      <c r="E59" s="247"/>
      <c r="F59" s="526"/>
      <c r="G59" s="247"/>
      <c r="H59" s="247"/>
    </row>
    <row r="60" spans="1:8" x14ac:dyDescent="0.3">
      <c r="A60" s="509" t="s">
        <v>688</v>
      </c>
      <c r="B60" s="509" t="s">
        <v>56</v>
      </c>
      <c r="C60" s="509" t="s">
        <v>687</v>
      </c>
      <c r="D60" s="509" t="s">
        <v>127</v>
      </c>
      <c r="E60" s="247"/>
      <c r="F60" s="247"/>
      <c r="G60" s="247"/>
      <c r="H60" s="247"/>
    </row>
    <row r="61" spans="1:8" x14ac:dyDescent="0.3">
      <c r="A61" s="583" t="s">
        <v>96</v>
      </c>
      <c r="B61" s="587">
        <f>'F3 - Relevé du personnel'!BG135+'F3 - Relevé du personnel'!BG136+'F3 - Relevé du personnel'!BG138+'F3 - Relevé du personnel'!BG140</f>
        <v>0</v>
      </c>
      <c r="C61" s="587">
        <f>'F3 - Relevé du personnel'!BN135+'F3 - Relevé du personnel'!BN136+'F3 - Relevé du personnel'!BN138+'F3 - Relevé du personnel'!BN140</f>
        <v>0</v>
      </c>
      <c r="D61" s="578" t="str">
        <f>IF(B61=0,"",(IF('F3 - Relevé du personnel'!BP135="",0,'F3 - Relevé du personnel'!BP135)*'F3 - Relevé du personnel'!BG135)+(IF('F3 - Relevé du personnel'!BP136="",0,'F3 - Relevé du personnel'!BP136)*'F3 - Relevé du personnel'!BG136)+(IF('F3 - Relevé du personnel'!BP138="",0,'F3 - Relevé du personnel'!BP138)*'F3 - Relevé du personnel'!BG138)+(IF('F3 - Relevé du personnel'!BP140="",0,'F3 - Relevé du personnel'!BP140)*'F3 - Relevé du personnel'!BG140)/B61)</f>
        <v/>
      </c>
      <c r="E61" s="247"/>
      <c r="F61" s="247"/>
      <c r="G61" s="247"/>
      <c r="H61" s="247"/>
    </row>
    <row r="62" spans="1:8" x14ac:dyDescent="0.3">
      <c r="A62" s="583" t="s">
        <v>277</v>
      </c>
      <c r="B62" s="578">
        <f>'F3 - Relevé du personnel'!B134+'F3 - Relevé du personnel'!BG141</f>
        <v>7</v>
      </c>
      <c r="C62" s="578">
        <f>'F3 - Relevé du personnel'!BN134+'F3 - Relevé du personnel'!BN141</f>
        <v>0</v>
      </c>
      <c r="D62" s="578">
        <f>IF(B62=0,"",(IF('F3 - Relevé du personnel'!BP134="",0,'F3 - Relevé du personnel'!BP134)*'F3 - Relevé du personnel'!BG134)+(IF('F3 - Relevé du personnel'!BP141="",0,'F3 - Relevé du personnel'!BP141)*'F3 - Relevé du personnel'!BG141)/B62)</f>
        <v>0</v>
      </c>
      <c r="E62" s="247"/>
      <c r="F62" s="247"/>
      <c r="G62" s="247"/>
      <c r="H62" s="247"/>
    </row>
    <row r="63" spans="1:8" x14ac:dyDescent="0.3">
      <c r="A63" s="583" t="s">
        <v>278</v>
      </c>
      <c r="B63" s="578">
        <f>'F3 - Relevé du personnel'!BG128</f>
        <v>0</v>
      </c>
      <c r="C63" s="578">
        <f>'F3 - Relevé du personnel'!BN128</f>
        <v>0</v>
      </c>
      <c r="D63" s="578" t="str">
        <f>IF(B63=0,"",'F3 - Relevé du personnel'!BP128)</f>
        <v/>
      </c>
      <c r="E63" s="247"/>
      <c r="F63" s="247"/>
      <c r="G63" s="247"/>
      <c r="H63" s="247"/>
    </row>
    <row r="64" spans="1:8" x14ac:dyDescent="0.3">
      <c r="A64" s="583" t="s">
        <v>279</v>
      </c>
      <c r="B64" s="578">
        <f>'F3 - Relevé du personnel'!BG129+'F3 - Relevé du personnel'!BG108+'F3 - Relevé du personnel'!BG118</f>
        <v>0</v>
      </c>
      <c r="C64" s="578">
        <f>'F3 - Relevé du personnel'!BN129+'F3 - Relevé du personnel'!BN108+'F3 - Relevé du personnel'!BN118</f>
        <v>0</v>
      </c>
      <c r="D64" s="578" t="str">
        <f>IF(B64=0,"",(IF('F3 - Relevé du personnel'!BP129="",0,'F3 - Relevé du personnel'!BP129)*'F3 - Relevé du personnel'!BG129)+(IF('F3 - Relevé du personnel'!B108="",0,'F3 - Relevé du personnel'!BP108)*'F3 - Relevé du personnel'!BG108)+(IF('F3 - Relevé du personnel'!BP118="",0,'F3 - Relevé du personnel'!BP118)*'F3 - Relevé du personnel'!BG118)/B64)</f>
        <v/>
      </c>
      <c r="E64" s="247"/>
      <c r="F64" s="247"/>
      <c r="G64" s="247"/>
      <c r="H64" s="247"/>
    </row>
    <row r="65" spans="1:8" x14ac:dyDescent="0.3">
      <c r="A65" s="583" t="s">
        <v>280</v>
      </c>
      <c r="B65" s="578">
        <f>'F3 - Relevé du personnel'!BG122+'F3 - Relevé du personnel'!BG127+'F3 - Relevé du personnel'!BG128+'F3 - Relevé du personnel'!BG144</f>
        <v>0</v>
      </c>
      <c r="C65" s="578">
        <f>'F3 - Relevé du personnel'!BN122+'F3 - Relevé du personnel'!BN127+'F3 - Relevé du personnel'!BN128+'F3 - Relevé du personnel'!BN144</f>
        <v>0</v>
      </c>
      <c r="D65" s="578" t="str">
        <f>IF(B65=0,"",(IF('F3 - Relevé du personnel'!BP122="",0,'F3 - Relevé du personnel'!BP122)*'F3 - Relevé du personnel'!BG122)+(IF('F3 - Relevé du personnel'!BP127="",0,'F3 - Relevé du personnel'!BP127)*'F3 - Relevé du personnel'!BG127)+(IF('F3 - Relevé du personnel'!BP128="",0,'F3 - Relevé du personnel'!BP128)*'F3 - Relevé du personnel'!BG128)+(IF('F3 - Relevé du personnel'!BP144="",0,'F3 - Relevé du personnel'!BP144)*'F3 - Relevé du personnel'!BG144)/B65)</f>
        <v/>
      </c>
      <c r="E65" s="247"/>
      <c r="F65" s="247"/>
      <c r="G65" s="247"/>
      <c r="H65" s="247"/>
    </row>
    <row r="66" spans="1:8" x14ac:dyDescent="0.3">
      <c r="A66" s="583" t="s">
        <v>721</v>
      </c>
      <c r="B66" s="578">
        <f>'F3 - Relevé du personnel'!BG125+'F3 - Relevé du personnel'!BG126+'F3 - Relevé du personnel'!BG132+'F3 - Relevé du personnel'!BG145</f>
        <v>0</v>
      </c>
      <c r="C66" s="578">
        <f>'F3 - Relevé du personnel'!BN125+'F3 - Relevé du personnel'!BN126+'F3 - Relevé du personnel'!BN132+'F3 - Relevé du personnel'!BN145</f>
        <v>0</v>
      </c>
      <c r="D66" s="578" t="str">
        <f>IF(B66=0,"",(IF('F3 - Relevé du personnel'!BP125="",0,'F3 - Relevé du personnel'!BP125)*'F3 - Relevé du personnel'!BG125)+(IF('F3 - Relevé du personnel'!BP126="",0,'F3 - Relevé du personnel'!BP126)*'F3 - Relevé du personnel'!BG126)+(IF('F3 - Relevé du personnel'!BP132="",0,'F3 - Relevé du personnel'!BP132)*'F3 - Relevé du personnel'!BG132)+(IF('F3 - Relevé du personnel'!BP145="",0,'F3 - Relevé du personnel'!BP145)*'F3 - Relevé du personnel'!BG145)/B66)</f>
        <v/>
      </c>
      <c r="E66" s="247"/>
      <c r="F66" s="247"/>
      <c r="G66" s="247"/>
      <c r="H66" s="247"/>
    </row>
    <row r="67" spans="1:8" x14ac:dyDescent="0.3">
      <c r="A67" s="583" t="s">
        <v>98</v>
      </c>
      <c r="B67" s="578">
        <f>'F3 - Relevé du personnel'!BG146</f>
        <v>0</v>
      </c>
      <c r="C67" s="578">
        <f>'F3 - Relevé du personnel'!BN146</f>
        <v>0</v>
      </c>
      <c r="D67" s="578" t="str">
        <f>IF(B67=0,"",'F3 - Relevé du personnel'!BP146)</f>
        <v/>
      </c>
      <c r="E67" s="247"/>
      <c r="F67" s="247"/>
      <c r="G67" s="247"/>
      <c r="H67" s="247"/>
    </row>
    <row r="68" spans="1:8" x14ac:dyDescent="0.3">
      <c r="A68" s="583" t="s">
        <v>319</v>
      </c>
      <c r="B68" s="578">
        <f>'F3 - Relevé du personnel'!BG147</f>
        <v>0</v>
      </c>
      <c r="C68" s="578">
        <f>'F3 - Relevé du personnel'!BN147</f>
        <v>0</v>
      </c>
      <c r="D68" s="578" t="str">
        <f>IF(B68=0,"",'F3 - Relevé du personnel'!BP147)</f>
        <v/>
      </c>
      <c r="E68" s="247"/>
      <c r="F68" s="247"/>
      <c r="G68" s="247"/>
      <c r="H68" s="247"/>
    </row>
    <row r="69" spans="1:8" x14ac:dyDescent="0.3">
      <c r="A69" s="583" t="s">
        <v>99</v>
      </c>
      <c r="B69" s="578">
        <f>'F3 - Relevé du personnel'!BG121+'F3 - Relevé du personnel'!BG122+'F3 - Relevé du personnel'!BG148</f>
        <v>0</v>
      </c>
      <c r="C69" s="578">
        <f>'F3 - Relevé du personnel'!BN121+'F3 - Relevé du personnel'!BN122+'F3 - Relevé du personnel'!BN148</f>
        <v>0</v>
      </c>
      <c r="D69" s="578" t="str">
        <f>IF(B69=0,"",(IF('F3 - Relevé du personnel'!BP121="",0,'F3 - Relevé du personnel'!BP121)*'F3 - Relevé du personnel'!BG121)+(IF('F3 - Relevé du personnel'!BP148="",0,'F3 - Relevé du personnel'!BP148)*'F3 - Relevé du personnel'!BG148)+(IF('F3 - Relevé du personnel'!BP122="",0,'F3 - Relevé du personnel'!BP122)*'F3 - Relevé du personnel'!BG122)/B69)</f>
        <v/>
      </c>
      <c r="E69" s="247"/>
      <c r="F69" s="247"/>
      <c r="G69" s="247"/>
      <c r="H69" s="247"/>
    </row>
    <row r="70" spans="1:8" x14ac:dyDescent="0.3">
      <c r="A70" s="583" t="s">
        <v>100</v>
      </c>
      <c r="B70" s="578">
        <f>'F3 - Relevé du personnel'!BG123+'F3 - Relevé du personnel'!BG131+'F3 - Relevé du personnel'!BG149</f>
        <v>0</v>
      </c>
      <c r="C70" s="578">
        <f>'F3 - Relevé du personnel'!BN123+'F3 - Relevé du personnel'!BN131+'F3 - Relevé du personnel'!BN149</f>
        <v>0</v>
      </c>
      <c r="D70" s="578" t="str">
        <f>IF(B70=0,"",(IF('F3 - Relevé du personnel'!BP123="",0,'F3 - Relevé du personnel'!BP123)*'F3 - Relevé du personnel'!BG123)+(IF('F3 - Relevé du personnel'!BP131="",0,'F3 - Relevé du personnel'!BP131)*'F3 - Relevé du personnel'!BG131)+(IF('F3 - Relevé du personnel'!BP149="",0,'F3 - Relevé du personnel'!BP149)*'F3 - Relevé du personnel'!BG149)/B70)</f>
        <v/>
      </c>
      <c r="E70" s="247"/>
      <c r="F70" s="578" t="s">
        <v>719</v>
      </c>
      <c r="G70" s="578" t="s">
        <v>710</v>
      </c>
      <c r="H70" s="247"/>
    </row>
    <row r="71" spans="1:8" x14ac:dyDescent="0.3">
      <c r="A71" s="509" t="s">
        <v>94</v>
      </c>
      <c r="B71" s="509">
        <f>SUM(B61:B70)</f>
        <v>7</v>
      </c>
      <c r="C71" s="524">
        <f>SUM(C61:C70)</f>
        <v>0</v>
      </c>
      <c r="D71" s="509">
        <f>IF(B71=0,"",(SUMPRODUCT(B61:B70,D61:D70))/B71)</f>
        <v>0</v>
      </c>
      <c r="E71" s="247"/>
      <c r="F71" s="585" t="e">
        <f>C71/C13</f>
        <v>#DIV/0!</v>
      </c>
      <c r="G71" s="578"/>
      <c r="H71" s="247"/>
    </row>
    <row r="72" spans="1:8" x14ac:dyDescent="0.3">
      <c r="A72" s="247"/>
      <c r="B72" s="247"/>
      <c r="C72" s="247"/>
      <c r="D72" s="247"/>
      <c r="E72" s="247"/>
      <c r="F72" s="526"/>
      <c r="G72" s="247"/>
      <c r="H72" s="247"/>
    </row>
    <row r="73" spans="1:8" ht="15.6" x14ac:dyDescent="0.3">
      <c r="A73" s="538" t="s">
        <v>691</v>
      </c>
      <c r="B73" s="247"/>
      <c r="C73" s="247"/>
      <c r="D73" s="247"/>
      <c r="E73" s="247"/>
      <c r="F73" s="578" t="s">
        <v>719</v>
      </c>
      <c r="G73" s="578" t="s">
        <v>710</v>
      </c>
      <c r="H73" s="247"/>
    </row>
    <row r="74" spans="1:8" x14ac:dyDescent="0.3">
      <c r="A74" s="247"/>
      <c r="B74" s="578" t="s">
        <v>720</v>
      </c>
      <c r="C74" s="524">
        <f>SUM('F3 - Relevé du personnel'!J285:J300)</f>
        <v>0</v>
      </c>
      <c r="D74" s="247"/>
      <c r="E74" s="247"/>
      <c r="F74" s="585" t="e">
        <f>C74/C13</f>
        <v>#DIV/0!</v>
      </c>
      <c r="G74" s="578"/>
      <c r="H74" s="247"/>
    </row>
    <row r="75" spans="1:8" x14ac:dyDescent="0.3">
      <c r="A75" s="589"/>
      <c r="B75" s="247"/>
      <c r="C75" s="247"/>
      <c r="D75" s="247"/>
      <c r="E75" s="247"/>
      <c r="F75" s="247"/>
      <c r="G75" s="247"/>
      <c r="H75" s="247"/>
    </row>
    <row r="76" spans="1:8" ht="15.6" x14ac:dyDescent="0.3">
      <c r="A76" s="538" t="s">
        <v>322</v>
      </c>
      <c r="B76" s="247"/>
      <c r="C76" s="247"/>
      <c r="D76" s="247"/>
      <c r="E76" s="247"/>
      <c r="F76" s="578" t="s">
        <v>719</v>
      </c>
      <c r="G76" s="578" t="s">
        <v>710</v>
      </c>
      <c r="H76" s="247"/>
    </row>
    <row r="77" spans="1:8" x14ac:dyDescent="0.3">
      <c r="A77" s="247"/>
      <c r="B77" s="578" t="s">
        <v>720</v>
      </c>
      <c r="C77" s="524">
        <f>SUM('F3 - Relevé du personnel'!J304:J326)</f>
        <v>0</v>
      </c>
      <c r="D77" s="247"/>
      <c r="E77" s="247"/>
      <c r="F77" s="585" t="e">
        <f>C77/C13</f>
        <v>#DIV/0!</v>
      </c>
      <c r="G77" s="578"/>
      <c r="H77" s="247"/>
    </row>
    <row r="78" spans="1:8" x14ac:dyDescent="0.3">
      <c r="A78" s="247"/>
      <c r="B78" s="247"/>
      <c r="C78" s="247"/>
      <c r="D78" s="247"/>
      <c r="E78" s="247"/>
      <c r="F78" s="526"/>
      <c r="G78" s="247"/>
      <c r="H78" s="247"/>
    </row>
    <row r="79" spans="1:8" x14ac:dyDescent="0.3">
      <c r="A79" s="247"/>
      <c r="B79" s="247"/>
      <c r="C79" s="247"/>
      <c r="D79" s="247"/>
      <c r="E79" s="247"/>
      <c r="F79" s="578" t="s">
        <v>719</v>
      </c>
      <c r="G79" s="578" t="s">
        <v>710</v>
      </c>
      <c r="H79" s="247"/>
    </row>
    <row r="80" spans="1:8" x14ac:dyDescent="0.3">
      <c r="A80" s="247"/>
      <c r="B80" s="581" t="s">
        <v>718</v>
      </c>
      <c r="C80" s="524">
        <f>C77+C74+C71+C57+C43+C29</f>
        <v>0</v>
      </c>
      <c r="D80" s="247"/>
      <c r="E80" s="247"/>
      <c r="F80" s="585" t="e">
        <f>C80/C13</f>
        <v>#DIV/0!</v>
      </c>
      <c r="G80" s="578"/>
      <c r="H80" s="247"/>
    </row>
    <row r="81" spans="1:8" x14ac:dyDescent="0.3">
      <c r="A81" s="247"/>
      <c r="B81" s="526"/>
      <c r="C81" s="526"/>
      <c r="D81" s="247"/>
      <c r="E81" s="247"/>
      <c r="F81" s="526"/>
      <c r="G81" s="247"/>
      <c r="H81" s="247"/>
    </row>
    <row r="82" spans="1:8" ht="15.6" hidden="1" x14ac:dyDescent="0.3">
      <c r="A82" s="538"/>
      <c r="B82" s="538"/>
      <c r="C82" s="538"/>
      <c r="D82" s="538"/>
      <c r="E82" s="538"/>
      <c r="F82" s="538"/>
      <c r="G82" s="247"/>
      <c r="H82" s="247"/>
    </row>
    <row r="83" spans="1:8" ht="129.6" hidden="1" customHeight="1" x14ac:dyDescent="0.4">
      <c r="A83" s="590" t="s">
        <v>136</v>
      </c>
      <c r="B83" s="591"/>
      <c r="C83" s="591"/>
      <c r="D83" s="591"/>
      <c r="E83" s="591"/>
      <c r="F83" s="592"/>
      <c r="G83" s="247"/>
      <c r="H83" s="247"/>
    </row>
    <row r="84" spans="1:8" ht="15.6" hidden="1" customHeight="1" x14ac:dyDescent="0.3">
      <c r="A84" s="593" t="str">
        <f>'F3 - Formations et absences enc'!A26</f>
        <v>CCT SAS</v>
      </c>
      <c r="B84" s="594" t="s">
        <v>226</v>
      </c>
      <c r="C84" s="595"/>
      <c r="D84" s="596"/>
      <c r="E84" s="568" t="s">
        <v>227</v>
      </c>
      <c r="F84" s="567"/>
      <c r="G84" s="247"/>
      <c r="H84" s="247"/>
    </row>
    <row r="85" spans="1:8" ht="15.6" hidden="1" customHeight="1" x14ac:dyDescent="0.3">
      <c r="A85" s="593">
        <f>'F3 - Formations et absences enc'!A27</f>
        <v>0</v>
      </c>
      <c r="B85" s="8" t="s">
        <v>138</v>
      </c>
      <c r="C85" s="8" t="s">
        <v>139</v>
      </c>
      <c r="D85" s="8" t="s">
        <v>125</v>
      </c>
      <c r="E85" s="8" t="s">
        <v>139</v>
      </c>
      <c r="F85" s="8" t="s">
        <v>125</v>
      </c>
      <c r="G85" s="247"/>
      <c r="H85" s="247"/>
    </row>
    <row r="86" spans="1:8" ht="15.6" hidden="1" customHeight="1" x14ac:dyDescent="0.3">
      <c r="A86" s="597" t="str">
        <f>'F3 - Formations et absences enc'!A28</f>
        <v>Point de départ</v>
      </c>
      <c r="B86" s="598">
        <f>'F3 - Formations et absences enc'!B28</f>
        <v>365</v>
      </c>
      <c r="C86" s="598">
        <f>'F3 - Formations et absences enc'!C28</f>
        <v>8</v>
      </c>
      <c r="D86" s="598">
        <f>'F3 - Formations et absences enc'!D28</f>
        <v>2920</v>
      </c>
      <c r="E86" s="598">
        <f>'F3 - Formations et absences enc'!E28</f>
        <v>0</v>
      </c>
      <c r="F86" s="598">
        <f>'F3 - Formations et absences enc'!F28</f>
        <v>2920</v>
      </c>
      <c r="G86" s="247"/>
      <c r="H86" s="247"/>
    </row>
    <row r="87" spans="1:8" ht="15.6" hidden="1" customHeight="1" x14ac:dyDescent="0.3">
      <c r="A87" s="266" t="str">
        <f>'F3 - Formations et absences enc'!A29</f>
        <v>dimanches et  samedis</v>
      </c>
      <c r="B87" s="599">
        <f>'F3 - Formations et absences enc'!B29</f>
        <v>105</v>
      </c>
      <c r="C87" s="599">
        <f>'F3 - Formations et absences enc'!C29</f>
        <v>840</v>
      </c>
      <c r="D87" s="599">
        <f>'F3 - Formations et absences enc'!D29</f>
        <v>2080</v>
      </c>
      <c r="E87" s="599">
        <f>'F3 - Formations et absences enc'!E29</f>
        <v>0</v>
      </c>
      <c r="F87" s="599">
        <f>'F3 - Formations et absences enc'!F29</f>
        <v>2080</v>
      </c>
      <c r="G87" s="247"/>
      <c r="H87" s="247"/>
    </row>
    <row r="88" spans="1:8" ht="15.6" hidden="1" customHeight="1" x14ac:dyDescent="0.3">
      <c r="A88" s="266" t="str">
        <f>'F3 - Formations et absences enc'!A30</f>
        <v>Déduction jours fériés (Y compris conv. congé)</v>
      </c>
      <c r="B88" s="599">
        <f>'F3 - Formations et absences enc'!B30</f>
        <v>11</v>
      </c>
      <c r="C88" s="599">
        <f>'F3 - Formations et absences enc'!C30</f>
        <v>88</v>
      </c>
      <c r="D88" s="599">
        <f>'F3 - Formations et absences enc'!D30</f>
        <v>1992</v>
      </c>
      <c r="E88" s="599">
        <f>'F3 - Formations et absences enc'!E30</f>
        <v>0</v>
      </c>
      <c r="F88" s="599">
        <f>'F3 - Formations et absences enc'!F30</f>
        <v>1992</v>
      </c>
      <c r="G88" s="247"/>
      <c r="H88" s="247"/>
    </row>
    <row r="89" spans="1:8" ht="15.6" hidden="1" x14ac:dyDescent="0.3">
      <c r="A89" s="266" t="str">
        <f>'F3 - Formations et absences enc'!A31</f>
        <v>Déduction congé légal et jours fériés d'usage</v>
      </c>
      <c r="B89" s="599">
        <f>'F3 - Formations et absences enc'!B31</f>
        <v>34</v>
      </c>
      <c r="C89" s="599">
        <f>'F3 - Formations et absences enc'!C31</f>
        <v>272</v>
      </c>
      <c r="D89" s="599">
        <f>'F3 - Formations et absences enc'!D31</f>
        <v>1720</v>
      </c>
      <c r="E89" s="599">
        <f>'F3 - Formations et absences enc'!E31</f>
        <v>0</v>
      </c>
      <c r="F89" s="599">
        <f>'F3 - Formations et absences enc'!F31</f>
        <v>1720</v>
      </c>
      <c r="G89" s="247"/>
      <c r="H89" s="247"/>
    </row>
    <row r="90" spans="1:8" ht="15.6" hidden="1" x14ac:dyDescent="0.3">
      <c r="A90" s="600" t="str">
        <f>'F3 - Formations et absences enc'!A32</f>
        <v>Sous-total</v>
      </c>
      <c r="B90" s="598"/>
      <c r="C90" s="598"/>
      <c r="D90" s="598">
        <f>'F3 - Formations et absences enc'!D32</f>
        <v>1720</v>
      </c>
      <c r="E90" s="598"/>
      <c r="F90" s="598">
        <f>'F3 - Formations et absences enc'!F32</f>
        <v>1720</v>
      </c>
      <c r="G90" s="247"/>
      <c r="H90" s="247"/>
    </row>
    <row r="91" spans="1:8" ht="15.6" hidden="1" x14ac:dyDescent="0.3">
      <c r="A91" s="266" t="str">
        <f>'F3 - Formations et absences enc'!A33</f>
        <v>Déduction congé lié à l'âge</v>
      </c>
      <c r="B91" s="601"/>
      <c r="C91" s="599">
        <f>'F3 - Formations et absences enc'!C33</f>
        <v>1</v>
      </c>
      <c r="D91" s="599">
        <f>'F3 - Formations et absences enc'!D33</f>
        <v>1719</v>
      </c>
      <c r="E91" s="599">
        <f>'F3 - Formations et absences enc'!E33</f>
        <v>0</v>
      </c>
      <c r="F91" s="599">
        <f>'F3 - Formations et absences enc'!F33</f>
        <v>1719</v>
      </c>
      <c r="G91" s="247"/>
      <c r="H91" s="247"/>
    </row>
    <row r="92" spans="1:8" ht="15.6" hidden="1" x14ac:dyDescent="0.3">
      <c r="A92" s="266" t="str">
        <f>'F3 - Formations et absences enc'!A34</f>
        <v>Déduction congé social</v>
      </c>
      <c r="B92" s="601"/>
      <c r="C92" s="599">
        <f>'F3 - Formations et absences enc'!C34</f>
        <v>2</v>
      </c>
      <c r="D92" s="599">
        <f>'F3 - Formations et absences enc'!D34</f>
        <v>1717</v>
      </c>
      <c r="E92" s="599">
        <f>'F3 - Formations et absences enc'!E34</f>
        <v>0</v>
      </c>
      <c r="F92" s="599">
        <f>'F3 - Formations et absences enc'!F34</f>
        <v>1717</v>
      </c>
      <c r="G92" s="247"/>
      <c r="H92" s="247"/>
    </row>
    <row r="93" spans="1:8" ht="15.6" hidden="1" x14ac:dyDescent="0.3">
      <c r="A93" s="266" t="str">
        <f>'F3 - Formations et absences enc'!A35</f>
        <v>Déduction congé extraordinaire</v>
      </c>
      <c r="B93" s="601"/>
      <c r="C93" s="599">
        <f>'F3 - Formations et absences enc'!C35</f>
        <v>6</v>
      </c>
      <c r="D93" s="599">
        <f>'F3 - Formations et absences enc'!D35</f>
        <v>1711</v>
      </c>
      <c r="E93" s="599">
        <f>'F3 - Formations et absences enc'!E35</f>
        <v>0</v>
      </c>
      <c r="F93" s="599">
        <f>'F3 - Formations et absences enc'!F35</f>
        <v>1711</v>
      </c>
      <c r="G93" s="247"/>
      <c r="H93" s="247"/>
    </row>
    <row r="94" spans="1:8" ht="15.6" hidden="1" x14ac:dyDescent="0.3">
      <c r="A94" s="266" t="str">
        <f>'F3 - Formations et absences enc'!A36</f>
        <v>Déduction congé reporté</v>
      </c>
      <c r="B94" s="601"/>
      <c r="C94" s="599">
        <f>'F3 - Formations et absences enc'!C36</f>
        <v>1.97</v>
      </c>
      <c r="D94" s="599">
        <f>'F3 - Formations et absences enc'!D36</f>
        <v>1709.03</v>
      </c>
      <c r="E94" s="599">
        <f>'F3 - Formations et absences enc'!E36</f>
        <v>0</v>
      </c>
      <c r="F94" s="599">
        <f>'F3 - Formations et absences enc'!F36</f>
        <v>1711</v>
      </c>
      <c r="G94" s="247"/>
      <c r="H94" s="247"/>
    </row>
    <row r="95" spans="1:8" ht="15.6" hidden="1" x14ac:dyDescent="0.3">
      <c r="A95" s="266" t="str">
        <f>'F3 - Formations et absences enc'!A37</f>
        <v>Déduction congé d'allaitement</v>
      </c>
      <c r="B95" s="601"/>
      <c r="C95" s="599">
        <f>'F3 - Formations et absences enc'!C37</f>
        <v>1.68</v>
      </c>
      <c r="D95" s="599">
        <f>'F3 - Formations et absences enc'!D37</f>
        <v>1707.35</v>
      </c>
      <c r="E95" s="599">
        <f>'F3 - Formations et absences enc'!E37</f>
        <v>0</v>
      </c>
      <c r="F95" s="599">
        <f>'F3 - Formations et absences enc'!F37</f>
        <v>1711</v>
      </c>
      <c r="G95" s="247"/>
      <c r="H95" s="247"/>
    </row>
    <row r="96" spans="1:8" ht="15.6" hidden="1" x14ac:dyDescent="0.3">
      <c r="A96" s="266" t="str">
        <f>'F3 - Formations et absences enc'!A38</f>
        <v>Déduction congé de paternité</v>
      </c>
      <c r="B96" s="602"/>
      <c r="C96" s="599">
        <f>'F3 - Formations et absences enc'!C38</f>
        <v>1.43</v>
      </c>
      <c r="D96" s="599">
        <f>'F3 - Formations et absences enc'!D38</f>
        <v>1705.9199999999998</v>
      </c>
      <c r="E96" s="599">
        <f>'F3 - Formations et absences enc'!E38</f>
        <v>0</v>
      </c>
      <c r="F96" s="599">
        <f>'F3 - Formations et absences enc'!F38</f>
        <v>1709.57</v>
      </c>
      <c r="G96" s="247"/>
      <c r="H96" s="247"/>
    </row>
    <row r="97" spans="1:8" ht="15.6" hidden="1" x14ac:dyDescent="0.3">
      <c r="A97" s="2" t="str">
        <f>'F3 - Formations et absences enc'!A39</f>
        <v>Déduction 2 jours de congé extraordinaire (répartis sur 2 ans)</v>
      </c>
      <c r="B97" s="602"/>
      <c r="C97" s="599">
        <f>'F3 - Formations et absences enc'!C39</f>
        <v>0</v>
      </c>
      <c r="D97" s="599">
        <f>'F3 - Formations et absences enc'!D39</f>
        <v>1705.9199999999998</v>
      </c>
      <c r="E97" s="599">
        <f>'F3 - Formations et absences enc'!E39</f>
        <v>0</v>
      </c>
      <c r="F97" s="599">
        <f>'F3 - Formations et absences enc'!F39</f>
        <v>1709.57</v>
      </c>
      <c r="G97" s="247"/>
      <c r="H97" s="247"/>
    </row>
    <row r="98" spans="1:8" ht="15.6" hidden="1" x14ac:dyDescent="0.3">
      <c r="A98" s="2" t="str">
        <f>'F3 - Formations et absences enc'!A40</f>
        <v>Déduction réduction de la flexibilité</v>
      </c>
      <c r="B98" s="602"/>
      <c r="C98" s="599">
        <f>'F3 - Formations et absences enc'!C40</f>
        <v>4.9000000000000004</v>
      </c>
      <c r="D98" s="599">
        <f>'F3 - Formations et absences enc'!D40</f>
        <v>1701.0199999999998</v>
      </c>
      <c r="E98" s="599">
        <f>'F3 - Formations et absences enc'!E40</f>
        <v>0</v>
      </c>
      <c r="F98" s="599">
        <f>'F3 - Formations et absences enc'!F40</f>
        <v>1704.6699999999998</v>
      </c>
      <c r="G98" s="247"/>
      <c r="H98" s="247"/>
    </row>
    <row r="99" spans="1:8" ht="15.6" hidden="1" x14ac:dyDescent="0.3">
      <c r="A99" s="2" t="str">
        <f>'F3 - Formations et absences enc'!A41</f>
        <v>Déduction dépassement de la durée de travail semi-nette annuelle</v>
      </c>
      <c r="B99" s="602"/>
      <c r="C99" s="599">
        <f>'F3 - Formations et absences enc'!C41</f>
        <v>8.4</v>
      </c>
      <c r="D99" s="599">
        <f>'F3 - Formations et absences enc'!D41</f>
        <v>1692.6199999999997</v>
      </c>
      <c r="E99" s="599">
        <f>'F3 - Formations et absences enc'!E41</f>
        <v>0</v>
      </c>
      <c r="F99" s="599">
        <f>'F3 - Formations et absences enc'!F41</f>
        <v>1696.2699999999998</v>
      </c>
      <c r="G99" s="247"/>
      <c r="H99" s="247"/>
    </row>
    <row r="100" spans="1:8" ht="15.6" hidden="1" x14ac:dyDescent="0.3">
      <c r="A100" s="2" t="str">
        <f>'F3 - Formations et absences enc'!A42</f>
        <v>Déduction abolition de la limitation de la majoration aux seules 4 premières heures de travail</v>
      </c>
      <c r="B100" s="601"/>
      <c r="C100" s="599">
        <f>'F3 - Formations et absences enc'!C42</f>
        <v>3.2</v>
      </c>
      <c r="D100" s="599">
        <f>'F3 - Formations et absences enc'!D42</f>
        <v>1689.4199999999996</v>
      </c>
      <c r="E100" s="599">
        <f>'F3 - Formations et absences enc'!E42</f>
        <v>0</v>
      </c>
      <c r="F100" s="599">
        <f>'F3 - Formations et absences enc'!F42</f>
        <v>1693.0699999999997</v>
      </c>
      <c r="G100" s="247"/>
      <c r="H100" s="247"/>
    </row>
    <row r="101" spans="1:8" ht="15.6" hidden="1" x14ac:dyDescent="0.3">
      <c r="A101" s="603" t="str">
        <f>'F3 - Formations et absences enc'!A43</f>
        <v>Déduction congé maladie</v>
      </c>
      <c r="B101" s="601"/>
      <c r="C101" s="599"/>
      <c r="D101" s="599">
        <f>'F3 - Formations et absences enc'!D43</f>
        <v>1603.8699999999997</v>
      </c>
      <c r="E101" s="599">
        <f>'F3 - Formations et absences enc'!E43</f>
        <v>0</v>
      </c>
      <c r="F101" s="599">
        <f>'F3 - Formations et absences enc'!F43</f>
        <v>1693.0699999999997</v>
      </c>
      <c r="G101" s="247"/>
      <c r="H101" s="247"/>
    </row>
    <row r="102" spans="1:8" ht="15.6" hidden="1" x14ac:dyDescent="0.3">
      <c r="A102" s="266" t="str">
        <f>'F3 - Formations et absences enc'!A44</f>
        <v>Déduction jour de congé supplémentaire 
(loi PAN flexibilité du travail)</v>
      </c>
      <c r="B102" s="601"/>
      <c r="C102" s="599"/>
      <c r="D102" s="599">
        <f>'F3 - Formations et absences enc'!D44</f>
        <v>1603.8699999999997</v>
      </c>
      <c r="E102" s="599">
        <f>'F3 - Formations et absences enc'!E44</f>
        <v>0</v>
      </c>
      <c r="F102" s="599">
        <f>'F3 - Formations et absences enc'!F44</f>
        <v>1693.0699999999997</v>
      </c>
      <c r="G102" s="247"/>
      <c r="H102" s="247"/>
    </row>
    <row r="103" spans="1:8" ht="15.6" hidden="1" x14ac:dyDescent="0.3">
      <c r="A103" s="266" t="str">
        <f>'F3 - Formations et absences enc'!A45</f>
        <v>Déduction repos travail de nuit</v>
      </c>
      <c r="B103" s="601"/>
      <c r="C103" s="599"/>
      <c r="D103" s="599">
        <f>'F3 - Formations et absences enc'!D45</f>
        <v>1603.8699999999997</v>
      </c>
      <c r="E103" s="599">
        <f>'F3 - Formations et absences enc'!E45</f>
        <v>0</v>
      </c>
      <c r="F103" s="599">
        <f>'F3 - Formations et absences enc'!F45</f>
        <v>1693.0699999999997</v>
      </c>
      <c r="G103" s="247"/>
      <c r="H103" s="247"/>
    </row>
    <row r="104" spans="1:8" ht="15.6" hidden="1" x14ac:dyDescent="0.3">
      <c r="A104" s="266" t="str">
        <f>'F3 - Formations et absences enc'!A46</f>
        <v>Déduction repos weekend</v>
      </c>
      <c r="B104" s="601"/>
      <c r="C104" s="599"/>
      <c r="D104" s="599">
        <f>'F3 - Formations et absences enc'!D46</f>
        <v>1603.8699999999997</v>
      </c>
      <c r="E104" s="599">
        <f>'F3 - Formations et absences enc'!E46</f>
        <v>0</v>
      </c>
      <c r="F104" s="599">
        <f>'F3 - Formations et absences enc'!F46</f>
        <v>1693.0699999999997</v>
      </c>
      <c r="G104" s="247"/>
      <c r="H104" s="247"/>
    </row>
    <row r="105" spans="1:8" ht="15.6" hidden="1" x14ac:dyDescent="0.3">
      <c r="A105" s="266" t="str">
        <f>'F3 - Formations et absences enc'!A47</f>
        <v>Déduction pour permanence</v>
      </c>
      <c r="B105" s="601"/>
      <c r="C105" s="599"/>
      <c r="D105" s="599">
        <f>'F3 - Formations et absences enc'!D47</f>
        <v>1603.8699999999997</v>
      </c>
      <c r="E105" s="599">
        <f>'F3 - Formations et absences enc'!E47</f>
        <v>0</v>
      </c>
      <c r="F105" s="599">
        <f>'F3 - Formations et absences enc'!F47</f>
        <v>1693.0699999999997</v>
      </c>
      <c r="G105" s="247"/>
      <c r="H105" s="247"/>
    </row>
    <row r="106" spans="1:8" ht="15.6" hidden="1" x14ac:dyDescent="0.3">
      <c r="A106" s="266" t="str">
        <f>'F3 - Formations et absences enc'!A48</f>
        <v>Déduction pour permanence travaillée</v>
      </c>
      <c r="B106" s="601"/>
      <c r="C106" s="599"/>
      <c r="D106" s="599">
        <f>'F3 - Formations et absences enc'!D48</f>
        <v>1603.8699999999997</v>
      </c>
      <c r="E106" s="599">
        <f>'F3 - Formations et absences enc'!E48</f>
        <v>0</v>
      </c>
      <c r="F106" s="599">
        <f>'F3 - Formations et absences enc'!F48</f>
        <v>1693.0699999999997</v>
      </c>
      <c r="G106" s="247"/>
      <c r="H106" s="247"/>
    </row>
    <row r="107" spans="1:8" ht="15.6" hidden="1" x14ac:dyDescent="0.3">
      <c r="A107" s="266" t="str">
        <f>'F3 - Formations et absences enc'!A49</f>
        <v>Déduction repos ininterrompu 44 hrs</v>
      </c>
      <c r="B107" s="601"/>
      <c r="C107" s="599"/>
      <c r="D107" s="599">
        <f>'F3 - Formations et absences enc'!D49</f>
        <v>1603.8699999999997</v>
      </c>
      <c r="E107" s="599">
        <f>'F3 - Formations et absences enc'!E49</f>
        <v>0</v>
      </c>
      <c r="F107" s="599">
        <f>'F3 - Formations et absences enc'!F49</f>
        <v>1693.0699999999997</v>
      </c>
      <c r="G107" s="247"/>
      <c r="H107" s="247"/>
    </row>
    <row r="108" spans="1:8" ht="15.6" hidden="1" x14ac:dyDescent="0.3">
      <c r="A108" s="600" t="str">
        <f>'F3 - Formations et absences enc'!A50</f>
        <v>Déduction congés spéciaux</v>
      </c>
      <c r="B108" s="598"/>
      <c r="C108" s="598"/>
      <c r="D108" s="598">
        <f>'F3 - Formations et absences enc'!D50</f>
        <v>1603.8699999999997</v>
      </c>
      <c r="E108" s="598">
        <f>'F3 - Formations et absences enc'!E50</f>
        <v>0</v>
      </c>
      <c r="F108" s="598">
        <f>'F3 - Formations et absences enc'!F50</f>
        <v>1693.0699999999997</v>
      </c>
      <c r="G108" s="247"/>
      <c r="H108" s="247"/>
    </row>
    <row r="109" spans="1:8" ht="15.6" hidden="1" x14ac:dyDescent="0.3">
      <c r="A109" s="266" t="str">
        <f>'F3 - Formations et absences enc'!A51</f>
        <v>Sous-total</v>
      </c>
      <c r="B109" s="601"/>
      <c r="C109" s="599">
        <f>'F3 - Formations et absences enc'!C51</f>
        <v>0</v>
      </c>
      <c r="D109" s="601">
        <f>'F3 - Formations et absences enc'!D51</f>
        <v>1603.8699999999997</v>
      </c>
      <c r="E109" s="604">
        <f>'F3 - Formations et absences enc'!E51</f>
        <v>0</v>
      </c>
      <c r="F109" s="601">
        <f>'F3 - Formations et absences enc'!F51</f>
        <v>1693.0699999999997</v>
      </c>
      <c r="G109" s="247"/>
      <c r="H109" s="247"/>
    </row>
    <row r="110" spans="1:8" hidden="1" x14ac:dyDescent="0.3">
      <c r="A110" s="266" t="str">
        <f>'F3 - Formations et absences enc'!A52</f>
        <v>Déduction formation continue</v>
      </c>
      <c r="B110" s="601"/>
      <c r="C110" s="601"/>
      <c r="D110" s="601">
        <f>'F3 - Formations et absences enc'!D52</f>
        <v>1579.8699999999997</v>
      </c>
      <c r="E110" s="601">
        <f>'F3 - Formations et absences enc'!E52</f>
        <v>0</v>
      </c>
      <c r="F110" s="601">
        <f>'F3 - Formations et absences enc'!F52</f>
        <v>1693.0699999999997</v>
      </c>
      <c r="G110" s="247"/>
      <c r="H110" s="247"/>
    </row>
    <row r="111" spans="1:8" ht="15.6" hidden="1" x14ac:dyDescent="0.3">
      <c r="A111" s="605" t="str">
        <f>'F3 - Formations et absences enc'!A53</f>
        <v>Déduction réunions de service</v>
      </c>
      <c r="B111" s="598"/>
      <c r="C111" s="598"/>
      <c r="D111" s="606">
        <f>'F3 - Formations et absences enc'!D53</f>
        <v>1579.8699999999997</v>
      </c>
      <c r="E111" s="598">
        <f>'F3 - Formations et absences enc'!E53</f>
        <v>0</v>
      </c>
      <c r="F111" s="598">
        <f>'F3 - Formations et absences enc'!F53</f>
        <v>0</v>
      </c>
      <c r="G111" s="247"/>
      <c r="H111" s="247"/>
    </row>
    <row r="112" spans="1:8" s="608" customFormat="1" ht="14.4" hidden="1" customHeight="1" x14ac:dyDescent="0.3">
      <c r="A112" s="566"/>
      <c r="B112" s="565"/>
      <c r="C112" s="565"/>
      <c r="D112" s="564"/>
      <c r="E112" s="563"/>
      <c r="F112" s="562"/>
      <c r="G112" s="607"/>
      <c r="H112" s="607"/>
    </row>
    <row r="113" spans="1:11" ht="17.399999999999999" hidden="1" x14ac:dyDescent="0.3">
      <c r="A113" s="561" t="s">
        <v>717</v>
      </c>
      <c r="B113" s="561"/>
      <c r="C113" s="561"/>
      <c r="D113" s="561"/>
      <c r="E113" s="561"/>
      <c r="F113" s="561"/>
      <c r="G113" s="561"/>
      <c r="H113" s="561"/>
    </row>
    <row r="114" spans="1:11" ht="18" hidden="1" x14ac:dyDescent="0.3">
      <c r="A114" s="556" t="s">
        <v>105</v>
      </c>
      <c r="B114" s="556"/>
      <c r="C114" s="556"/>
      <c r="D114" s="556"/>
      <c r="E114" s="556"/>
      <c r="F114" s="556"/>
      <c r="G114" s="556"/>
      <c r="H114" s="556"/>
      <c r="I114" s="556"/>
      <c r="J114" s="556"/>
      <c r="K114" s="556"/>
    </row>
    <row r="115" spans="1:11" ht="100.8" hidden="1" x14ac:dyDescent="0.3">
      <c r="A115" s="555" t="s">
        <v>106</v>
      </c>
      <c r="B115" s="554"/>
      <c r="C115" s="554"/>
      <c r="D115" s="554"/>
      <c r="E115" s="553"/>
      <c r="F115" s="552" t="s">
        <v>749</v>
      </c>
      <c r="G115" s="551" t="s">
        <v>750</v>
      </c>
      <c r="H115" s="551" t="s">
        <v>714</v>
      </c>
      <c r="I115" s="551" t="s">
        <v>751</v>
      </c>
      <c r="J115" s="551" t="s">
        <v>108</v>
      </c>
      <c r="K115" s="551" t="s">
        <v>109</v>
      </c>
    </row>
    <row r="116" spans="1:11" hidden="1" x14ac:dyDescent="0.3">
      <c r="A116" s="546" t="s">
        <v>169</v>
      </c>
      <c r="B116" s="545"/>
      <c r="C116" s="609" t="s">
        <v>110</v>
      </c>
      <c r="D116" s="610"/>
      <c r="E116" s="611"/>
      <c r="F116" s="612">
        <f>'F4 - Amortissement_investiss'!F4</f>
        <v>0</v>
      </c>
      <c r="G116" s="612">
        <f>'F4 - Amortissement_investiss'!G4</f>
        <v>0</v>
      </c>
      <c r="H116" s="612">
        <f>'F4 - Amortissement_investiss'!H4</f>
        <v>0</v>
      </c>
      <c r="I116" s="613">
        <f>'F4 - Amortissement_investiss'!I4</f>
        <v>0</v>
      </c>
      <c r="J116" s="614">
        <f t="shared" ref="J116:K118" si="1">F116-H116</f>
        <v>0</v>
      </c>
      <c r="K116" s="614">
        <f t="shared" si="1"/>
        <v>0</v>
      </c>
    </row>
    <row r="117" spans="1:11" hidden="1" x14ac:dyDescent="0.3">
      <c r="A117" s="550"/>
      <c r="B117" s="549"/>
      <c r="C117" s="609" t="s">
        <v>111</v>
      </c>
      <c r="D117" s="610"/>
      <c r="E117" s="611"/>
      <c r="F117" s="613">
        <f>'F4 - Amortissement_investiss'!F5</f>
        <v>0</v>
      </c>
      <c r="G117" s="613">
        <f>'F4 - Amortissement_investiss'!G5</f>
        <v>0</v>
      </c>
      <c r="H117" s="613">
        <f>'F4 - Amortissement_investiss'!H5</f>
        <v>0</v>
      </c>
      <c r="I117" s="613">
        <f>'F4 - Amortissement_investiss'!I5</f>
        <v>0</v>
      </c>
      <c r="J117" s="614">
        <f t="shared" si="1"/>
        <v>0</v>
      </c>
      <c r="K117" s="614">
        <f t="shared" si="1"/>
        <v>0</v>
      </c>
    </row>
    <row r="118" spans="1:11" hidden="1" x14ac:dyDescent="0.3">
      <c r="A118" s="548"/>
      <c r="B118" s="547"/>
      <c r="C118" s="609" t="s">
        <v>112</v>
      </c>
      <c r="D118" s="610"/>
      <c r="E118" s="611"/>
      <c r="F118" s="613">
        <f>'F4 - Amortissement_investiss'!F6</f>
        <v>0</v>
      </c>
      <c r="G118" s="613">
        <f>'F4 - Amortissement_investiss'!G6</f>
        <v>0</v>
      </c>
      <c r="H118" s="613">
        <f>'F4 - Amortissement_investiss'!H6</f>
        <v>0</v>
      </c>
      <c r="I118" s="613">
        <f>'F4 - Amortissement_investiss'!I6</f>
        <v>0</v>
      </c>
      <c r="J118" s="614">
        <f t="shared" si="1"/>
        <v>0</v>
      </c>
      <c r="K118" s="614">
        <f t="shared" si="1"/>
        <v>0</v>
      </c>
    </row>
    <row r="119" spans="1:11" ht="15.6" hidden="1" x14ac:dyDescent="0.3">
      <c r="A119" s="560" t="s">
        <v>57</v>
      </c>
      <c r="B119" s="559"/>
      <c r="C119" s="559"/>
      <c r="D119" s="559"/>
      <c r="E119" s="558"/>
      <c r="F119" s="557">
        <f t="shared" ref="F119:K119" si="2">SUM(F116:F118)</f>
        <v>0</v>
      </c>
      <c r="G119" s="557">
        <f t="shared" si="2"/>
        <v>0</v>
      </c>
      <c r="H119" s="557">
        <f t="shared" si="2"/>
        <v>0</v>
      </c>
      <c r="I119" s="557">
        <f t="shared" si="2"/>
        <v>0</v>
      </c>
      <c r="J119" s="614">
        <f t="shared" si="2"/>
        <v>0</v>
      </c>
      <c r="K119" s="614">
        <f t="shared" si="2"/>
        <v>0</v>
      </c>
    </row>
    <row r="120" spans="1:11" ht="18" hidden="1" x14ac:dyDescent="0.3">
      <c r="A120" s="556" t="s">
        <v>113</v>
      </c>
      <c r="B120" s="556"/>
      <c r="C120" s="556"/>
      <c r="D120" s="556"/>
      <c r="E120" s="556"/>
      <c r="F120" s="556"/>
      <c r="G120" s="556"/>
      <c r="H120" s="556"/>
      <c r="I120" s="556"/>
      <c r="J120" s="556"/>
      <c r="K120" s="556"/>
    </row>
    <row r="121" spans="1:11" ht="100.8" hidden="1" x14ac:dyDescent="0.3">
      <c r="A121" s="555" t="s">
        <v>106</v>
      </c>
      <c r="B121" s="554"/>
      <c r="C121" s="554"/>
      <c r="D121" s="554"/>
      <c r="E121" s="553"/>
      <c r="F121" s="552" t="s">
        <v>716</v>
      </c>
      <c r="G121" s="551" t="s">
        <v>715</v>
      </c>
      <c r="H121" s="551" t="s">
        <v>714</v>
      </c>
      <c r="I121" s="551" t="s">
        <v>751</v>
      </c>
      <c r="J121" s="551" t="s">
        <v>108</v>
      </c>
      <c r="K121" s="551" t="s">
        <v>109</v>
      </c>
    </row>
    <row r="122" spans="1:11" hidden="1" x14ac:dyDescent="0.3">
      <c r="A122" s="546" t="s">
        <v>169</v>
      </c>
      <c r="B122" s="545"/>
      <c r="C122" s="615" t="s">
        <v>114</v>
      </c>
      <c r="D122" s="616"/>
      <c r="E122" s="617"/>
      <c r="F122" s="612">
        <f>'F4 - Amortissement_investiss'!F10</f>
        <v>0</v>
      </c>
      <c r="G122" s="612">
        <f>'F4 - Amortissement_investiss'!G10</f>
        <v>0</v>
      </c>
      <c r="H122" s="612">
        <f>'F4 - Amortissement_investiss'!H10</f>
        <v>0</v>
      </c>
      <c r="I122" s="613">
        <f>'F4 - Amortissement_investiss'!I10</f>
        <v>0</v>
      </c>
      <c r="J122" s="614">
        <f t="shared" ref="J122:K131" si="3">F122-H122</f>
        <v>0</v>
      </c>
      <c r="K122" s="614">
        <f t="shared" si="3"/>
        <v>0</v>
      </c>
    </row>
    <row r="123" spans="1:11" hidden="1" x14ac:dyDescent="0.3">
      <c r="A123" s="550"/>
      <c r="B123" s="549"/>
      <c r="C123" s="615" t="s">
        <v>115</v>
      </c>
      <c r="D123" s="616"/>
      <c r="E123" s="617"/>
      <c r="F123" s="613">
        <f>'F4 - Amortissement_investiss'!F11</f>
        <v>0</v>
      </c>
      <c r="G123" s="613">
        <f>'F4 - Amortissement_investiss'!G11</f>
        <v>0</v>
      </c>
      <c r="H123" s="613">
        <f>'F4 - Amortissement_investiss'!H11</f>
        <v>0</v>
      </c>
      <c r="I123" s="613">
        <f>'F4 - Amortissement_investiss'!I11</f>
        <v>0</v>
      </c>
      <c r="J123" s="618">
        <f t="shared" si="3"/>
        <v>0</v>
      </c>
      <c r="K123" s="618">
        <f t="shared" si="3"/>
        <v>0</v>
      </c>
    </row>
    <row r="124" spans="1:11" hidden="1" x14ac:dyDescent="0.3">
      <c r="A124" s="550"/>
      <c r="B124" s="549"/>
      <c r="C124" s="615" t="s">
        <v>116</v>
      </c>
      <c r="D124" s="616"/>
      <c r="E124" s="617"/>
      <c r="F124" s="613">
        <f>'F4 - Amortissement_investiss'!F12</f>
        <v>0</v>
      </c>
      <c r="G124" s="613">
        <f>'F4 - Amortissement_investiss'!G12</f>
        <v>0</v>
      </c>
      <c r="H124" s="613">
        <f>'F4 - Amortissement_investiss'!H12</f>
        <v>0</v>
      </c>
      <c r="I124" s="613">
        <f>'F4 - Amortissement_investiss'!I12</f>
        <v>0</v>
      </c>
      <c r="J124" s="618">
        <f t="shared" si="3"/>
        <v>0</v>
      </c>
      <c r="K124" s="618">
        <f t="shared" si="3"/>
        <v>0</v>
      </c>
    </row>
    <row r="125" spans="1:11" hidden="1" x14ac:dyDescent="0.3">
      <c r="A125" s="550"/>
      <c r="B125" s="549"/>
      <c r="C125" s="615" t="s">
        <v>117</v>
      </c>
      <c r="D125" s="616"/>
      <c r="E125" s="617"/>
      <c r="F125" s="613">
        <f>'F4 - Amortissement_investiss'!F13</f>
        <v>0</v>
      </c>
      <c r="G125" s="613">
        <f>'F4 - Amortissement_investiss'!G13</f>
        <v>0</v>
      </c>
      <c r="H125" s="613">
        <f>'F4 - Amortissement_investiss'!H13</f>
        <v>0</v>
      </c>
      <c r="I125" s="613">
        <f>'F4 - Amortissement_investiss'!I13</f>
        <v>0</v>
      </c>
      <c r="J125" s="618">
        <f t="shared" si="3"/>
        <v>0</v>
      </c>
      <c r="K125" s="618">
        <f t="shared" si="3"/>
        <v>0</v>
      </c>
    </row>
    <row r="126" spans="1:11" hidden="1" x14ac:dyDescent="0.3">
      <c r="A126" s="550"/>
      <c r="B126" s="549"/>
      <c r="C126" s="615" t="s">
        <v>118</v>
      </c>
      <c r="D126" s="616"/>
      <c r="E126" s="617"/>
      <c r="F126" s="613">
        <f>'F4 - Amortissement_investiss'!F14</f>
        <v>0</v>
      </c>
      <c r="G126" s="613">
        <f>'F4 - Amortissement_investiss'!G14</f>
        <v>0</v>
      </c>
      <c r="H126" s="613">
        <f>'F4 - Amortissement_investiss'!H14</f>
        <v>0</v>
      </c>
      <c r="I126" s="613">
        <f>'F4 - Amortissement_investiss'!I14</f>
        <v>0</v>
      </c>
      <c r="J126" s="618">
        <f t="shared" si="3"/>
        <v>0</v>
      </c>
      <c r="K126" s="618">
        <f t="shared" si="3"/>
        <v>0</v>
      </c>
    </row>
    <row r="127" spans="1:11" hidden="1" x14ac:dyDescent="0.3">
      <c r="A127" s="550"/>
      <c r="B127" s="549"/>
      <c r="C127" s="615" t="s">
        <v>119</v>
      </c>
      <c r="D127" s="616"/>
      <c r="E127" s="617"/>
      <c r="F127" s="613">
        <f>'F4 - Amortissement_investiss'!F15</f>
        <v>0</v>
      </c>
      <c r="G127" s="613">
        <f>'F4 - Amortissement_investiss'!G15</f>
        <v>0</v>
      </c>
      <c r="H127" s="613">
        <f>'F4 - Amortissement_investiss'!H15</f>
        <v>0</v>
      </c>
      <c r="I127" s="613">
        <f>'F4 - Amortissement_investiss'!I15</f>
        <v>0</v>
      </c>
      <c r="J127" s="618">
        <f t="shared" si="3"/>
        <v>0</v>
      </c>
      <c r="K127" s="618">
        <f t="shared" si="3"/>
        <v>0</v>
      </c>
    </row>
    <row r="128" spans="1:11" hidden="1" x14ac:dyDescent="0.3">
      <c r="A128" s="550"/>
      <c r="B128" s="549"/>
      <c r="C128" s="615" t="s">
        <v>120</v>
      </c>
      <c r="D128" s="616"/>
      <c r="E128" s="617"/>
      <c r="F128" s="613">
        <f>'F4 - Amortissement_investiss'!F16</f>
        <v>0</v>
      </c>
      <c r="G128" s="613">
        <f>'F4 - Amortissement_investiss'!G16</f>
        <v>0</v>
      </c>
      <c r="H128" s="613">
        <f>'F4 - Amortissement_investiss'!H16</f>
        <v>0</v>
      </c>
      <c r="I128" s="613">
        <f>'F4 - Amortissement_investiss'!I16</f>
        <v>0</v>
      </c>
      <c r="J128" s="618">
        <f t="shared" si="3"/>
        <v>0</v>
      </c>
      <c r="K128" s="618">
        <f t="shared" si="3"/>
        <v>0</v>
      </c>
    </row>
    <row r="129" spans="1:11" hidden="1" x14ac:dyDescent="0.3">
      <c r="A129" s="550"/>
      <c r="B129" s="549"/>
      <c r="C129" s="615" t="s">
        <v>121</v>
      </c>
      <c r="D129" s="616"/>
      <c r="E129" s="617"/>
      <c r="F129" s="613">
        <f>'F4 - Amortissement_investiss'!F17</f>
        <v>0</v>
      </c>
      <c r="G129" s="613">
        <f>'F4 - Amortissement_investiss'!G17</f>
        <v>0</v>
      </c>
      <c r="H129" s="613">
        <f>'F4 - Amortissement_investiss'!H17</f>
        <v>0</v>
      </c>
      <c r="I129" s="613">
        <f>'F4 - Amortissement_investiss'!I17</f>
        <v>0</v>
      </c>
      <c r="J129" s="618">
        <f t="shared" si="3"/>
        <v>0</v>
      </c>
      <c r="K129" s="618">
        <f t="shared" si="3"/>
        <v>0</v>
      </c>
    </row>
    <row r="130" spans="1:11" hidden="1" x14ac:dyDescent="0.3">
      <c r="A130" s="548"/>
      <c r="B130" s="547"/>
      <c r="C130" s="615" t="s">
        <v>122</v>
      </c>
      <c r="D130" s="616"/>
      <c r="E130" s="617"/>
      <c r="F130" s="613">
        <f>'F4 - Amortissement_investiss'!F18</f>
        <v>0</v>
      </c>
      <c r="G130" s="613">
        <f>'F4 - Amortissement_investiss'!G18</f>
        <v>0</v>
      </c>
      <c r="H130" s="613">
        <f>'F4 - Amortissement_investiss'!H18</f>
        <v>0</v>
      </c>
      <c r="I130" s="613">
        <f>'F4 - Amortissement_investiss'!I18</f>
        <v>0</v>
      </c>
      <c r="J130" s="618">
        <f t="shared" si="3"/>
        <v>0</v>
      </c>
      <c r="K130" s="618">
        <f t="shared" si="3"/>
        <v>0</v>
      </c>
    </row>
    <row r="131" spans="1:11" ht="14.4" hidden="1" customHeight="1" x14ac:dyDescent="0.3">
      <c r="A131" s="546" t="s">
        <v>170</v>
      </c>
      <c r="B131" s="545"/>
      <c r="C131" s="619" t="s">
        <v>123</v>
      </c>
      <c r="D131" s="620"/>
      <c r="E131" s="621"/>
      <c r="F131" s="613">
        <f>'F4 - Amortissement_investiss'!F19</f>
        <v>0</v>
      </c>
      <c r="G131" s="613">
        <f>'F4 - Amortissement_investiss'!G19</f>
        <v>0</v>
      </c>
      <c r="H131" s="613">
        <f>'F4 - Amortissement_investiss'!H19</f>
        <v>0</v>
      </c>
      <c r="I131" s="613">
        <f>'F4 - Amortissement_investiss'!I19</f>
        <v>0</v>
      </c>
      <c r="J131" s="622">
        <f t="shared" si="3"/>
        <v>0</v>
      </c>
      <c r="K131" s="622">
        <f t="shared" si="3"/>
        <v>0</v>
      </c>
    </row>
    <row r="132" spans="1:11" ht="15.6" hidden="1" x14ac:dyDescent="0.3">
      <c r="A132" s="544" t="s">
        <v>57</v>
      </c>
      <c r="B132" s="543"/>
      <c r="C132" s="543"/>
      <c r="D132" s="543"/>
      <c r="E132" s="542"/>
      <c r="F132" s="541">
        <f t="shared" ref="F132:K132" si="4">SUM(F122:F131)</f>
        <v>0</v>
      </c>
      <c r="G132" s="540">
        <f t="shared" si="4"/>
        <v>0</v>
      </c>
      <c r="H132" s="539">
        <f t="shared" si="4"/>
        <v>0</v>
      </c>
      <c r="I132" s="539">
        <f t="shared" si="4"/>
        <v>0</v>
      </c>
      <c r="J132" s="623">
        <f t="shared" si="4"/>
        <v>0</v>
      </c>
      <c r="K132" s="623">
        <f t="shared" si="4"/>
        <v>0</v>
      </c>
    </row>
    <row r="133" spans="1:11" hidden="1" x14ac:dyDescent="0.3">
      <c r="A133" s="247"/>
      <c r="B133" s="247"/>
      <c r="C133" s="247"/>
      <c r="D133" s="247"/>
      <c r="E133" s="247"/>
      <c r="F133" s="247"/>
      <c r="G133" s="247"/>
      <c r="H133" s="247"/>
      <c r="I133" s="63"/>
      <c r="J133" s="63"/>
      <c r="K133" s="63"/>
    </row>
    <row r="134" spans="1:11" ht="57.6" hidden="1" x14ac:dyDescent="0.3">
      <c r="A134" s="538" t="s">
        <v>713</v>
      </c>
      <c r="B134" s="247"/>
      <c r="C134" s="247"/>
      <c r="D134" s="247"/>
      <c r="E134" s="247"/>
      <c r="F134" s="537" t="s">
        <v>712</v>
      </c>
      <c r="G134" s="537" t="s">
        <v>690</v>
      </c>
      <c r="H134" s="537" t="s">
        <v>57</v>
      </c>
      <c r="I134" s="536" t="s">
        <v>711</v>
      </c>
      <c r="J134" s="578" t="s">
        <v>710</v>
      </c>
    </row>
    <row r="135" spans="1:11" ht="14.4" hidden="1" customHeight="1" x14ac:dyDescent="0.3">
      <c r="A135" s="624">
        <v>1</v>
      </c>
      <c r="B135" s="535" t="s">
        <v>267</v>
      </c>
      <c r="C135" s="534"/>
      <c r="D135" s="534"/>
      <c r="E135" s="533"/>
      <c r="F135" s="584">
        <f>'F5 - Frais et recettes'!F5-'F5 - Frais et recettes'!M5-'F5 - Frais et recettes'!N5</f>
        <v>0</v>
      </c>
      <c r="G135" s="584">
        <f>SUM('F5 - Frais et recettes'!G5:J5)-'F5 - Frais et recettes'!O5-'F5 - Frais et recettes'!P5</f>
        <v>0</v>
      </c>
      <c r="H135" s="584">
        <f t="shared" ref="H135:H141" si="5">F135+G135</f>
        <v>0</v>
      </c>
      <c r="I135" s="584" t="e">
        <f t="shared" ref="I135:I141" si="6">H135/C$13</f>
        <v>#DIV/0!</v>
      </c>
      <c r="J135" s="578" t="e">
        <f t="shared" ref="J135:J141" si="7">I135-FU135</f>
        <v>#DIV/0!</v>
      </c>
    </row>
    <row r="136" spans="1:11" ht="14.4" hidden="1" customHeight="1" x14ac:dyDescent="0.3">
      <c r="A136" s="624">
        <v>2</v>
      </c>
      <c r="B136" s="535" t="s">
        <v>268</v>
      </c>
      <c r="C136" s="534"/>
      <c r="D136" s="534"/>
      <c r="E136" s="533"/>
      <c r="F136" s="584">
        <f>'F5 - Frais et recettes'!F6-'F5 - Frais et recettes'!M6-'F5 - Frais et recettes'!N6</f>
        <v>0</v>
      </c>
      <c r="G136" s="584">
        <f>SUM('F5 - Frais et recettes'!G6:J6)-'F5 - Frais et recettes'!O6-'F5 - Frais et recettes'!P6</f>
        <v>0</v>
      </c>
      <c r="H136" s="584">
        <f t="shared" si="5"/>
        <v>0</v>
      </c>
      <c r="I136" s="584" t="e">
        <f t="shared" si="6"/>
        <v>#DIV/0!</v>
      </c>
      <c r="J136" s="578" t="e">
        <f t="shared" si="7"/>
        <v>#DIV/0!</v>
      </c>
    </row>
    <row r="137" spans="1:11" ht="14.4" hidden="1" customHeight="1" x14ac:dyDescent="0.3">
      <c r="A137" s="624">
        <v>3</v>
      </c>
      <c r="B137" s="535" t="s">
        <v>269</v>
      </c>
      <c r="C137" s="534"/>
      <c r="D137" s="534"/>
      <c r="E137" s="533"/>
      <c r="F137" s="584">
        <f>'F5 - Frais et recettes'!F7-'F5 - Frais et recettes'!M7-'F5 - Frais et recettes'!N7</f>
        <v>0</v>
      </c>
      <c r="G137" s="584">
        <f>SUM('F5 - Frais et recettes'!G7:J7)-'F5 - Frais et recettes'!O7-'F5 - Frais et recettes'!P7</f>
        <v>0</v>
      </c>
      <c r="H137" s="584">
        <f t="shared" si="5"/>
        <v>0</v>
      </c>
      <c r="I137" s="584" t="e">
        <f t="shared" si="6"/>
        <v>#DIV/0!</v>
      </c>
      <c r="J137" s="578" t="e">
        <f t="shared" si="7"/>
        <v>#DIV/0!</v>
      </c>
    </row>
    <row r="138" spans="1:11" ht="14.4" hidden="1" customHeight="1" x14ac:dyDescent="0.3">
      <c r="A138" s="624">
        <v>4</v>
      </c>
      <c r="B138" s="535" t="s">
        <v>266</v>
      </c>
      <c r="C138" s="534"/>
      <c r="D138" s="534"/>
      <c r="E138" s="533"/>
      <c r="F138" s="584">
        <f>'F5 - Frais et recettes'!F8-'F5 - Frais et recettes'!M8-'F5 - Frais et recettes'!N8</f>
        <v>0</v>
      </c>
      <c r="G138" s="584">
        <f>SUM('F5 - Frais et recettes'!G8:J8)-'F5 - Frais et recettes'!O8-'F5 - Frais et recettes'!P8</f>
        <v>0</v>
      </c>
      <c r="H138" s="584">
        <f t="shared" si="5"/>
        <v>0</v>
      </c>
      <c r="I138" s="584" t="e">
        <f t="shared" si="6"/>
        <v>#DIV/0!</v>
      </c>
      <c r="J138" s="578" t="e">
        <f t="shared" si="7"/>
        <v>#DIV/0!</v>
      </c>
    </row>
    <row r="139" spans="1:11" ht="14.4" hidden="1" customHeight="1" x14ac:dyDescent="0.3">
      <c r="A139" s="624">
        <v>5</v>
      </c>
      <c r="B139" s="535" t="s">
        <v>380</v>
      </c>
      <c r="C139" s="534"/>
      <c r="D139" s="534"/>
      <c r="E139" s="533"/>
      <c r="F139" s="584">
        <f>'F5 - Frais et recettes'!F9-'F5 - Frais et recettes'!M9-'F5 - Frais et recettes'!N9</f>
        <v>0</v>
      </c>
      <c r="G139" s="584">
        <f>SUM('F5 - Frais et recettes'!G9:J9)-'F5 - Frais et recettes'!O9-'F5 - Frais et recettes'!P9</f>
        <v>0</v>
      </c>
      <c r="H139" s="584">
        <f t="shared" si="5"/>
        <v>0</v>
      </c>
      <c r="I139" s="584" t="e">
        <f t="shared" si="6"/>
        <v>#DIV/0!</v>
      </c>
      <c r="J139" s="578" t="e">
        <f t="shared" si="7"/>
        <v>#DIV/0!</v>
      </c>
    </row>
    <row r="140" spans="1:11" ht="14.4" hidden="1" customHeight="1" x14ac:dyDescent="0.3">
      <c r="A140" s="624">
        <v>6</v>
      </c>
      <c r="B140" s="535" t="s">
        <v>289</v>
      </c>
      <c r="C140" s="534"/>
      <c r="D140" s="534"/>
      <c r="E140" s="533"/>
      <c r="F140" s="584">
        <f>'F5 - Frais et recettes'!F10-'F5 - Frais et recettes'!M10-'F5 - Frais et recettes'!N10</f>
        <v>0</v>
      </c>
      <c r="G140" s="584">
        <f>SUM('F5 - Frais et recettes'!G10:J10)-'F5 - Frais et recettes'!O10-'F5 - Frais et recettes'!P10</f>
        <v>0</v>
      </c>
      <c r="H140" s="584">
        <f t="shared" si="5"/>
        <v>0</v>
      </c>
      <c r="I140" s="584" t="e">
        <f t="shared" si="6"/>
        <v>#DIV/0!</v>
      </c>
      <c r="J140" s="578" t="e">
        <f t="shared" si="7"/>
        <v>#DIV/0!</v>
      </c>
    </row>
    <row r="141" spans="1:11" ht="14.4" hidden="1" customHeight="1" x14ac:dyDescent="0.3">
      <c r="A141" s="624">
        <v>7</v>
      </c>
      <c r="B141" s="532" t="s">
        <v>270</v>
      </c>
      <c r="C141" s="531"/>
      <c r="D141" s="531"/>
      <c r="E141" s="530"/>
      <c r="F141" s="584">
        <f>'F5 - Frais et recettes'!F11-'F5 - Frais et recettes'!M11-'F5 - Frais et recettes'!N11</f>
        <v>0</v>
      </c>
      <c r="G141" s="584">
        <f>SUM('F5 - Frais et recettes'!G11:J11)-'F5 - Frais et recettes'!O11-'F5 - Frais et recettes'!P11</f>
        <v>0</v>
      </c>
      <c r="H141" s="584">
        <f t="shared" si="5"/>
        <v>0</v>
      </c>
      <c r="I141" s="584" t="e">
        <f t="shared" si="6"/>
        <v>#DIV/0!</v>
      </c>
      <c r="J141" s="578" t="e">
        <f t="shared" si="7"/>
        <v>#DIV/0!</v>
      </c>
    </row>
    <row r="142" spans="1:11" hidden="1" x14ac:dyDescent="0.3">
      <c r="A142" s="247"/>
      <c r="B142" s="529" t="s">
        <v>709</v>
      </c>
      <c r="C142" s="529"/>
      <c r="D142" s="529"/>
      <c r="E142" s="529"/>
      <c r="F142" s="528">
        <f>SUM(F135:F141)</f>
        <v>0</v>
      </c>
      <c r="G142" s="528">
        <f>SUM(G135:G141)</f>
        <v>0</v>
      </c>
      <c r="H142" s="524">
        <f>SUM(H135:H141)</f>
        <v>0</v>
      </c>
      <c r="I142" s="528" t="e">
        <f>SUM(I135:I141)</f>
        <v>#DIV/0!</v>
      </c>
      <c r="J142" s="528" t="e">
        <f>SUM(J135:J141)</f>
        <v>#DIV/0!</v>
      </c>
    </row>
    <row r="143" spans="1:11" hidden="1" x14ac:dyDescent="0.3">
      <c r="A143" s="247"/>
      <c r="B143" s="247"/>
      <c r="C143" s="247"/>
      <c r="D143" s="247"/>
      <c r="E143" s="247"/>
      <c r="F143" s="625"/>
      <c r="G143" s="625"/>
      <c r="H143" s="527"/>
      <c r="I143" s="626"/>
      <c r="J143" s="247"/>
    </row>
    <row r="144" spans="1:11" hidden="1" x14ac:dyDescent="0.3">
      <c r="A144" s="247"/>
      <c r="B144" s="247"/>
      <c r="C144" s="247"/>
      <c r="D144" s="247"/>
      <c r="E144" s="247"/>
      <c r="F144" s="526"/>
      <c r="G144" s="527"/>
      <c r="H144" s="527"/>
      <c r="I144" s="527"/>
    </row>
    <row r="145" spans="1:9" hidden="1" x14ac:dyDescent="0.3">
      <c r="A145" s="247"/>
      <c r="B145" s="247"/>
      <c r="C145" s="247"/>
      <c r="D145" s="247"/>
      <c r="E145" s="247"/>
      <c r="F145" s="526"/>
      <c r="G145" s="527"/>
      <c r="H145" s="527"/>
      <c r="I145" s="527"/>
    </row>
    <row r="146" spans="1:9" hidden="1" x14ac:dyDescent="0.3">
      <c r="A146" s="247"/>
      <c r="B146" s="655" t="s">
        <v>708</v>
      </c>
      <c r="C146" s="656">
        <f>C80+H142</f>
        <v>0</v>
      </c>
      <c r="D146" s="627"/>
      <c r="E146" s="247"/>
      <c r="F146" s="526"/>
      <c r="G146" s="527"/>
      <c r="H146" s="527"/>
      <c r="I146" s="527"/>
    </row>
    <row r="147" spans="1:9" hidden="1" x14ac:dyDescent="0.3">
      <c r="A147" s="247"/>
      <c r="B147" s="578" t="s">
        <v>707</v>
      </c>
      <c r="C147" s="584" t="e">
        <f>C146/C13</f>
        <v>#DIV/0!</v>
      </c>
      <c r="D147" s="578" t="e">
        <f>C147-FO147</f>
        <v>#DIV/0!</v>
      </c>
      <c r="E147" s="247"/>
      <c r="F147" s="526"/>
      <c r="G147" s="247"/>
      <c r="H147" s="247"/>
    </row>
    <row r="148" spans="1:9" ht="28.8" hidden="1" x14ac:dyDescent="0.3">
      <c r="A148" s="247"/>
      <c r="B148" s="628" t="s">
        <v>706</v>
      </c>
      <c r="C148" s="578" t="e">
        <f>C13/B29</f>
        <v>#DIV/0!</v>
      </c>
      <c r="D148" s="578" t="e">
        <f>C148-FO148</f>
        <v>#DIV/0!</v>
      </c>
      <c r="E148" s="247"/>
      <c r="F148" s="247"/>
      <c r="G148" s="247"/>
      <c r="H148" s="247"/>
    </row>
    <row r="149" spans="1:9" hidden="1" x14ac:dyDescent="0.3">
      <c r="A149" s="247"/>
      <c r="B149" s="578" t="s">
        <v>705</v>
      </c>
      <c r="C149" s="102" t="e">
        <f>C148/D111</f>
        <v>#DIV/0!</v>
      </c>
      <c r="D149" s="578" t="e">
        <f>C149-FO149</f>
        <v>#DIV/0!</v>
      </c>
      <c r="E149" s="247"/>
      <c r="F149" s="247"/>
      <c r="G149" s="247"/>
      <c r="H149" s="247"/>
    </row>
    <row r="150" spans="1:9" ht="28.8" hidden="1" x14ac:dyDescent="0.3">
      <c r="A150" s="247"/>
      <c r="B150" s="628" t="s">
        <v>704</v>
      </c>
      <c r="C150" s="102" t="e">
        <f>C148/F111</f>
        <v>#DIV/0!</v>
      </c>
      <c r="D150" s="578" t="e">
        <f>C150-FO150</f>
        <v>#DIV/0!</v>
      </c>
      <c r="E150" s="247"/>
      <c r="F150" s="247"/>
      <c r="G150" s="247"/>
      <c r="H150" s="247"/>
    </row>
    <row r="151" spans="1:9" ht="28.8" hidden="1" x14ac:dyDescent="0.3">
      <c r="A151" s="247"/>
      <c r="B151" s="525" t="s">
        <v>703</v>
      </c>
      <c r="C151" s="524">
        <f>'F6 - Bénéfice_perte'!D3</f>
        <v>0</v>
      </c>
      <c r="D151" s="247"/>
      <c r="E151" s="247"/>
      <c r="F151" s="247"/>
      <c r="G151" s="247"/>
      <c r="H151" s="247"/>
    </row>
    <row r="152" spans="1:9" ht="15.6" hidden="1" x14ac:dyDescent="0.3">
      <c r="A152" s="629"/>
      <c r="B152" s="523" t="s">
        <v>702</v>
      </c>
      <c r="C152" s="522">
        <f>C151-C146</f>
        <v>0</v>
      </c>
      <c r="D152" s="247" t="str">
        <f>IF(C152&lt;0,"Perte","Bénéfice")</f>
        <v>Bénéfice</v>
      </c>
      <c r="E152" s="247"/>
      <c r="F152" s="247"/>
      <c r="G152" s="247"/>
      <c r="H152" s="247"/>
    </row>
    <row r="153" spans="1:9" hidden="1" x14ac:dyDescent="0.3">
      <c r="A153" s="630"/>
      <c r="C153" s="631">
        <f>C152-'F6 - Bénéfice_perte'!C28</f>
        <v>0</v>
      </c>
    </row>
    <row r="154" spans="1:9" hidden="1" x14ac:dyDescent="0.3">
      <c r="A154" s="630"/>
      <c r="C154" s="632"/>
    </row>
    <row r="155" spans="1:9" hidden="1" x14ac:dyDescent="0.3">
      <c r="D155" s="527"/>
    </row>
    <row r="156" spans="1:9" hidden="1" x14ac:dyDescent="0.3"/>
    <row r="157" spans="1:9" hidden="1" x14ac:dyDescent="0.3"/>
    <row r="158" spans="1:9" ht="18" hidden="1" x14ac:dyDescent="0.35">
      <c r="A158" s="633">
        <f>'F0 - Données générales'!C2</f>
        <v>0</v>
      </c>
    </row>
    <row r="159" spans="1:9" hidden="1" x14ac:dyDescent="0.3"/>
    <row r="160" spans="1:9" hidden="1" x14ac:dyDescent="0.3">
      <c r="A160" s="521" t="str">
        <f>'F0 - Données générales'!C3&amp;" "&amp;'F0 - Données générales'!C4</f>
        <v>horaire 7</v>
      </c>
    </row>
    <row r="161" spans="1:8" hidden="1" x14ac:dyDescent="0.3">
      <c r="A161" s="2" t="s">
        <v>747</v>
      </c>
      <c r="B161" s="10">
        <f>D111</f>
        <v>1579.8699999999997</v>
      </c>
      <c r="C161" t="s">
        <v>701</v>
      </c>
      <c r="G161" s="511" t="s">
        <v>700</v>
      </c>
      <c r="H161" s="520" t="s">
        <v>699</v>
      </c>
    </row>
    <row r="162" spans="1:8" hidden="1" x14ac:dyDescent="0.3">
      <c r="A162" s="2" t="s">
        <v>698</v>
      </c>
      <c r="B162" s="578">
        <f>B29</f>
        <v>0</v>
      </c>
      <c r="G162" s="2" t="s">
        <v>679</v>
      </c>
      <c r="H162" s="2"/>
    </row>
    <row r="163" spans="1:8" hidden="1" x14ac:dyDescent="0.3">
      <c r="B163" s="247"/>
      <c r="G163" s="2" t="s">
        <v>664</v>
      </c>
      <c r="H163" s="2"/>
    </row>
    <row r="164" spans="1:8" hidden="1" x14ac:dyDescent="0.3">
      <c r="A164" s="504" t="s">
        <v>697</v>
      </c>
      <c r="B164" s="511">
        <f>B161*B162*0.75</f>
        <v>0</v>
      </c>
      <c r="C164" s="178" t="s">
        <v>748</v>
      </c>
      <c r="G164" s="2" t="s">
        <v>678</v>
      </c>
      <c r="H164" s="2"/>
    </row>
    <row r="165" spans="1:8" hidden="1" x14ac:dyDescent="0.3">
      <c r="G165" s="2" t="s">
        <v>677</v>
      </c>
      <c r="H165" s="2"/>
    </row>
    <row r="166" spans="1:8" ht="14.4" hidden="1" customHeight="1" x14ac:dyDescent="0.3">
      <c r="A166" s="516" t="s">
        <v>696</v>
      </c>
      <c r="B166" s="515"/>
      <c r="C166" s="515"/>
      <c r="D166" s="515"/>
      <c r="E166" s="514"/>
      <c r="G166" s="2" t="s">
        <v>676</v>
      </c>
      <c r="H166" s="2"/>
    </row>
    <row r="167" spans="1:8" ht="29.4" hidden="1" x14ac:dyDescent="0.35">
      <c r="A167" s="634"/>
      <c r="B167" s="635"/>
      <c r="C167" s="636"/>
      <c r="D167" s="504" t="s">
        <v>674</v>
      </c>
      <c r="E167" s="519" t="s">
        <v>695</v>
      </c>
      <c r="G167" s="29"/>
    </row>
    <row r="168" spans="1:8" hidden="1" x14ac:dyDescent="0.3">
      <c r="A168" s="306" t="s">
        <v>694</v>
      </c>
      <c r="B168" s="306"/>
      <c r="C168" s="306"/>
      <c r="D168" s="505">
        <f>C43</f>
        <v>0</v>
      </c>
      <c r="E168" s="505" t="e">
        <f t="shared" ref="E168:E173" si="8">D168/$B$162</f>
        <v>#DIV/0!</v>
      </c>
    </row>
    <row r="169" spans="1:8" hidden="1" x14ac:dyDescent="0.3">
      <c r="A169" s="306" t="s">
        <v>693</v>
      </c>
      <c r="B169" s="306"/>
      <c r="C169" s="306"/>
      <c r="D169" s="505">
        <f>C57</f>
        <v>0</v>
      </c>
      <c r="E169" s="505" t="e">
        <f t="shared" si="8"/>
        <v>#DIV/0!</v>
      </c>
    </row>
    <row r="170" spans="1:8" hidden="1" x14ac:dyDescent="0.3">
      <c r="A170" s="306" t="s">
        <v>692</v>
      </c>
      <c r="B170" s="306"/>
      <c r="C170" s="306"/>
      <c r="D170" s="505">
        <f>C71</f>
        <v>0</v>
      </c>
      <c r="E170" s="505" t="e">
        <f t="shared" si="8"/>
        <v>#DIV/0!</v>
      </c>
    </row>
    <row r="171" spans="1:8" hidden="1" x14ac:dyDescent="0.3">
      <c r="A171" s="306" t="s">
        <v>691</v>
      </c>
      <c r="B171" s="306"/>
      <c r="C171" s="306"/>
      <c r="D171" s="518">
        <f>C74</f>
        <v>0</v>
      </c>
      <c r="E171" s="505" t="e">
        <f t="shared" si="8"/>
        <v>#DIV/0!</v>
      </c>
    </row>
    <row r="172" spans="1:8" hidden="1" x14ac:dyDescent="0.3">
      <c r="A172" s="306" t="s">
        <v>322</v>
      </c>
      <c r="B172" s="306"/>
      <c r="C172" s="306"/>
      <c r="D172" s="505">
        <f>C77</f>
        <v>0</v>
      </c>
      <c r="E172" s="505" t="e">
        <f t="shared" si="8"/>
        <v>#DIV/0!</v>
      </c>
    </row>
    <row r="173" spans="1:8" hidden="1" x14ac:dyDescent="0.3">
      <c r="A173" s="306" t="s">
        <v>690</v>
      </c>
      <c r="B173" s="306"/>
      <c r="C173" s="306"/>
      <c r="D173" s="505">
        <f>'F5 - Frais et recettes'!H12+'F5 - Frais et recettes'!I12+'F5 - Frais et recettes'!J12-Synthèse!J12</f>
        <v>0</v>
      </c>
      <c r="E173" s="505" t="e">
        <f t="shared" si="8"/>
        <v>#DIV/0!</v>
      </c>
    </row>
    <row r="174" spans="1:8" hidden="1" x14ac:dyDescent="0.3">
      <c r="A174" s="517" t="s">
        <v>94</v>
      </c>
      <c r="B174" s="517"/>
      <c r="C174" s="517"/>
      <c r="D174" s="508">
        <f>SUM(D168:D173)</f>
        <v>0</v>
      </c>
      <c r="E174" s="508" t="e">
        <f>SUM(E168:E173)</f>
        <v>#DIV/0!</v>
      </c>
    </row>
    <row r="175" spans="1:8" hidden="1" x14ac:dyDescent="0.3">
      <c r="D175" s="637"/>
      <c r="E175" s="637"/>
    </row>
    <row r="176" spans="1:8" hidden="1" x14ac:dyDescent="0.3">
      <c r="A176" s="516" t="s">
        <v>689</v>
      </c>
      <c r="B176" s="515"/>
      <c r="C176" s="514"/>
      <c r="D176" s="513"/>
      <c r="E176" s="513"/>
    </row>
    <row r="177" spans="1:7" hidden="1" x14ac:dyDescent="0.3">
      <c r="A177" s="504" t="s">
        <v>688</v>
      </c>
      <c r="B177" s="504" t="s">
        <v>56</v>
      </c>
      <c r="C177" s="504" t="s">
        <v>687</v>
      </c>
    </row>
    <row r="178" spans="1:7" ht="28.8" hidden="1" x14ac:dyDescent="0.3">
      <c r="A178" s="2" t="s">
        <v>96</v>
      </c>
      <c r="B178" s="578">
        <f t="shared" ref="B178:C187" si="9">B19</f>
        <v>0</v>
      </c>
      <c r="C178" s="578">
        <f t="shared" si="9"/>
        <v>0</v>
      </c>
      <c r="E178" s="512" t="s">
        <v>686</v>
      </c>
    </row>
    <row r="179" spans="1:7" hidden="1" x14ac:dyDescent="0.3">
      <c r="A179" s="2" t="s">
        <v>277</v>
      </c>
      <c r="B179" s="578">
        <f t="shared" si="9"/>
        <v>0</v>
      </c>
      <c r="C179" s="578">
        <f t="shared" si="9"/>
        <v>0</v>
      </c>
      <c r="E179" s="512"/>
      <c r="F179" s="511">
        <f>B188*B161*0.675</f>
        <v>0</v>
      </c>
      <c r="G179" s="2" t="s">
        <v>685</v>
      </c>
    </row>
    <row r="180" spans="1:7" ht="28.8" hidden="1" x14ac:dyDescent="0.3">
      <c r="A180" s="2" t="s">
        <v>278</v>
      </c>
      <c r="B180" s="578">
        <f t="shared" si="9"/>
        <v>0</v>
      </c>
      <c r="C180" s="578">
        <f t="shared" si="9"/>
        <v>0</v>
      </c>
      <c r="E180" s="512" t="s">
        <v>684</v>
      </c>
    </row>
    <row r="181" spans="1:7" hidden="1" x14ac:dyDescent="0.3">
      <c r="A181" s="2" t="s">
        <v>279</v>
      </c>
      <c r="B181" s="578">
        <f t="shared" si="9"/>
        <v>0</v>
      </c>
      <c r="C181" s="578">
        <f t="shared" si="9"/>
        <v>0</v>
      </c>
      <c r="E181" s="512"/>
      <c r="F181" s="511">
        <f>B188*B161*0.825</f>
        <v>0</v>
      </c>
      <c r="G181" s="2" t="s">
        <v>683</v>
      </c>
    </row>
    <row r="182" spans="1:7" hidden="1" x14ac:dyDescent="0.3">
      <c r="A182" s="2" t="s">
        <v>280</v>
      </c>
      <c r="B182" s="578">
        <f t="shared" si="9"/>
        <v>0</v>
      </c>
      <c r="C182" s="578">
        <f t="shared" si="9"/>
        <v>0</v>
      </c>
    </row>
    <row r="183" spans="1:7" hidden="1" x14ac:dyDescent="0.3">
      <c r="A183" s="2" t="s">
        <v>97</v>
      </c>
      <c r="B183" s="578">
        <f t="shared" si="9"/>
        <v>0</v>
      </c>
      <c r="C183" s="578">
        <f t="shared" si="9"/>
        <v>0</v>
      </c>
      <c r="E183" s="504" t="s">
        <v>682</v>
      </c>
      <c r="F183" s="510" t="s">
        <v>681</v>
      </c>
      <c r="G183" t="s">
        <v>680</v>
      </c>
    </row>
    <row r="184" spans="1:7" hidden="1" x14ac:dyDescent="0.3">
      <c r="A184" s="2" t="s">
        <v>98</v>
      </c>
      <c r="B184" s="578">
        <f t="shared" si="9"/>
        <v>0</v>
      </c>
      <c r="C184" s="578">
        <f t="shared" si="9"/>
        <v>0</v>
      </c>
      <c r="E184" s="2" t="s">
        <v>679</v>
      </c>
      <c r="F184" s="102" t="e">
        <f>(B185+B186)/B188</f>
        <v>#DIV/0!</v>
      </c>
    </row>
    <row r="185" spans="1:7" hidden="1" x14ac:dyDescent="0.3">
      <c r="A185" s="2" t="s">
        <v>319</v>
      </c>
      <c r="B185" s="578">
        <f t="shared" si="9"/>
        <v>0</v>
      </c>
      <c r="C185" s="578">
        <f t="shared" si="9"/>
        <v>0</v>
      </c>
      <c r="E185" s="2" t="s">
        <v>664</v>
      </c>
      <c r="F185" s="102" t="e">
        <f>(B184+B183)/B188</f>
        <v>#DIV/0!</v>
      </c>
    </row>
    <row r="186" spans="1:7" hidden="1" x14ac:dyDescent="0.3">
      <c r="A186" s="2" t="s">
        <v>99</v>
      </c>
      <c r="B186" s="578">
        <f t="shared" si="9"/>
        <v>0</v>
      </c>
      <c r="C186" s="578">
        <f t="shared" si="9"/>
        <v>0</v>
      </c>
      <c r="E186" s="2" t="s">
        <v>678</v>
      </c>
      <c r="F186" s="102" t="e">
        <f>(B182+B180)/B188</f>
        <v>#DIV/0!</v>
      </c>
    </row>
    <row r="187" spans="1:7" hidden="1" x14ac:dyDescent="0.3">
      <c r="A187" s="2" t="s">
        <v>100</v>
      </c>
      <c r="B187" s="578">
        <f t="shared" si="9"/>
        <v>0</v>
      </c>
      <c r="C187" s="578">
        <f t="shared" si="9"/>
        <v>0</v>
      </c>
      <c r="E187" s="2" t="s">
        <v>677</v>
      </c>
      <c r="F187" s="102" t="e">
        <f>B187/B188</f>
        <v>#DIV/0!</v>
      </c>
    </row>
    <row r="188" spans="1:7" hidden="1" x14ac:dyDescent="0.3">
      <c r="A188" s="504" t="s">
        <v>94</v>
      </c>
      <c r="B188" s="509">
        <f>SUM(B178:B187)</f>
        <v>0</v>
      </c>
      <c r="C188" s="508">
        <f>SUM(C178:C187)</f>
        <v>0</v>
      </c>
      <c r="E188" s="2" t="s">
        <v>676</v>
      </c>
      <c r="F188" s="102" t="e">
        <f>(B178+B179+B181)/B188</f>
        <v>#DIV/0!</v>
      </c>
    </row>
    <row r="189" spans="1:7" hidden="1" x14ac:dyDescent="0.3">
      <c r="B189" s="247"/>
      <c r="C189" s="247"/>
    </row>
    <row r="190" spans="1:7" hidden="1" x14ac:dyDescent="0.3"/>
    <row r="191" spans="1:7" hidden="1" x14ac:dyDescent="0.3"/>
    <row r="192" spans="1:7" hidden="1" x14ac:dyDescent="0.3"/>
    <row r="193" spans="1:5" hidden="1" x14ac:dyDescent="0.3">
      <c r="A193" s="507" t="s">
        <v>675</v>
      </c>
      <c r="B193" s="507"/>
      <c r="C193" s="506"/>
      <c r="D193" s="506"/>
    </row>
    <row r="194" spans="1:5" hidden="1" x14ac:dyDescent="0.3">
      <c r="A194" s="504" t="s">
        <v>674</v>
      </c>
      <c r="B194" s="504" t="s">
        <v>673</v>
      </c>
    </row>
    <row r="195" spans="1:5" hidden="1" x14ac:dyDescent="0.3">
      <c r="A195" s="505"/>
      <c r="B195" s="505" t="e">
        <f>A195/E195</f>
        <v>#DIV/0!</v>
      </c>
      <c r="D195" s="504" t="s">
        <v>672</v>
      </c>
      <c r="E195" s="578">
        <f>C13</f>
        <v>0</v>
      </c>
    </row>
    <row r="196" spans="1:5" hidden="1" x14ac:dyDescent="0.3">
      <c r="E196" s="247"/>
    </row>
    <row r="197" spans="1:5" hidden="1" x14ac:dyDescent="0.3">
      <c r="A197" s="637"/>
    </row>
    <row r="198" spans="1:5" hidden="1" x14ac:dyDescent="0.3">
      <c r="A198" s="637"/>
    </row>
    <row r="199" spans="1:5" hidden="1" x14ac:dyDescent="0.3">
      <c r="A199" s="637"/>
    </row>
    <row r="200" spans="1:5" hidden="1" x14ac:dyDescent="0.3"/>
    <row r="201" spans="1:5" hidden="1" x14ac:dyDescent="0.3"/>
    <row r="202" spans="1:5" hidden="1" x14ac:dyDescent="0.3"/>
    <row r="203" spans="1:5" hidden="1" x14ac:dyDescent="0.3"/>
    <row r="204" spans="1:5" hidden="1" x14ac:dyDescent="0.3"/>
    <row r="205" spans="1:5" hidden="1" x14ac:dyDescent="0.3"/>
    <row r="206" spans="1:5" hidden="1" x14ac:dyDescent="0.3"/>
    <row r="207" spans="1:5" hidden="1" x14ac:dyDescent="0.3"/>
    <row r="208" spans="1:5" hidden="1" x14ac:dyDescent="0.3">
      <c r="A208" s="638" t="s">
        <v>671</v>
      </c>
    </row>
    <row r="209" spans="1:1" hidden="1" x14ac:dyDescent="0.3">
      <c r="A209" s="639" t="s">
        <v>670</v>
      </c>
    </row>
    <row r="210" spans="1:1" hidden="1" x14ac:dyDescent="0.3">
      <c r="A210" s="640" t="s">
        <v>669</v>
      </c>
    </row>
    <row r="211" spans="1:1" hidden="1" x14ac:dyDescent="0.3">
      <c r="A211" s="503" t="s">
        <v>668</v>
      </c>
    </row>
    <row r="212" spans="1:1" hidden="1" x14ac:dyDescent="0.3">
      <c r="A212" s="641" t="s">
        <v>667</v>
      </c>
    </row>
    <row r="213" spans="1:1" hidden="1" x14ac:dyDescent="0.3">
      <c r="A213" s="642" t="s">
        <v>666</v>
      </c>
    </row>
    <row r="214" spans="1:1" hidden="1" x14ac:dyDescent="0.3">
      <c r="A214" t="s">
        <v>666</v>
      </c>
    </row>
    <row r="215" spans="1:1" hidden="1" x14ac:dyDescent="0.3"/>
    <row r="216" spans="1:1" hidden="1" x14ac:dyDescent="0.3"/>
    <row r="217" spans="1:1" hidden="1" x14ac:dyDescent="0.3"/>
    <row r="218" spans="1:1" hidden="1" x14ac:dyDescent="0.3"/>
    <row r="219" spans="1:1" hidden="1" x14ac:dyDescent="0.3"/>
    <row r="220" spans="1:1" hidden="1" x14ac:dyDescent="0.3"/>
    <row r="221" spans="1:1" hidden="1" x14ac:dyDescent="0.3"/>
    <row r="222" spans="1:1" hidden="1" x14ac:dyDescent="0.3"/>
    <row r="223" spans="1:1" hidden="1" x14ac:dyDescent="0.3"/>
    <row r="224" spans="1:1" hidden="1" x14ac:dyDescent="0.3"/>
    <row r="225" spans="1:4" hidden="1" x14ac:dyDescent="0.3"/>
    <row r="226" spans="1:4" hidden="1" x14ac:dyDescent="0.3"/>
    <row r="227" spans="1:4" hidden="1" x14ac:dyDescent="0.3"/>
    <row r="228" spans="1:4" hidden="1" x14ac:dyDescent="0.3"/>
    <row r="229" spans="1:4" hidden="1" x14ac:dyDescent="0.3"/>
    <row r="230" spans="1:4" hidden="1" x14ac:dyDescent="0.3"/>
    <row r="231" spans="1:4" hidden="1" x14ac:dyDescent="0.3"/>
    <row r="232" spans="1:4" ht="15" hidden="1" thickBot="1" x14ac:dyDescent="0.35"/>
    <row r="233" spans="1:4" ht="15" hidden="1" thickBot="1" x14ac:dyDescent="0.35">
      <c r="A233" s="643" t="s">
        <v>745</v>
      </c>
      <c r="B233" s="644"/>
      <c r="C233" s="644"/>
      <c r="D233" s="645"/>
    </row>
    <row r="234" spans="1:4" hidden="1" x14ac:dyDescent="0.3">
      <c r="C234" s="649" t="s">
        <v>746</v>
      </c>
      <c r="D234" s="649" t="s">
        <v>138</v>
      </c>
    </row>
    <row r="235" spans="1:4" hidden="1" x14ac:dyDescent="0.3"/>
    <row r="236" spans="1:4" hidden="1" x14ac:dyDescent="0.3">
      <c r="A236" t="s">
        <v>403</v>
      </c>
      <c r="B236" s="247">
        <f>'F3 - Relevé du personnel'!BG34</f>
        <v>0</v>
      </c>
    </row>
    <row r="237" spans="1:4" hidden="1" x14ac:dyDescent="0.3"/>
    <row r="238" spans="1:4" hidden="1" x14ac:dyDescent="0.3">
      <c r="A238" t="str">
        <f>'F3 - Formations et absences enc'!A9</f>
        <v>Personnel d'encadrement - formations et supervisions</v>
      </c>
      <c r="B238" s="304">
        <f>'F3 - Formations et absences enc'!B11</f>
        <v>0</v>
      </c>
      <c r="C238" s="646" t="e">
        <f>B238/$B$29</f>
        <v>#DIV/0!</v>
      </c>
      <c r="D238" s="646" t="e">
        <f>C238/8</f>
        <v>#DIV/0!</v>
      </c>
    </row>
    <row r="239" spans="1:4" hidden="1" x14ac:dyDescent="0.3"/>
    <row r="240" spans="1:4" hidden="1" x14ac:dyDescent="0.3">
      <c r="A240" t="str">
        <f>'F3 - Formations et absences enc'!A13</f>
        <v>Personnel d'encadrement - accouchement</v>
      </c>
      <c r="B240" s="304">
        <f>'F3 - Formations et absences enc'!B15</f>
        <v>0</v>
      </c>
    </row>
    <row r="241" spans="1:4" hidden="1" x14ac:dyDescent="0.3"/>
    <row r="242" spans="1:4" hidden="1" x14ac:dyDescent="0.3">
      <c r="A242" t="str">
        <f>'F3 - Relevé du personnel'!G3</f>
        <v>Heures de maladie de courte durée (à ne compléter que pour le personnel d'encadrement)</v>
      </c>
      <c r="B242" s="304">
        <f>SUM('F3 - Relevé du personnel'!G4:G253)</f>
        <v>0</v>
      </c>
      <c r="C242" s="646" t="e">
        <f>B242/$B$29</f>
        <v>#DIV/0!</v>
      </c>
      <c r="D242" s="646" t="e">
        <f>C242/8</f>
        <v>#DIV/0!</v>
      </c>
    </row>
    <row r="243" spans="1:4" hidden="1" x14ac:dyDescent="0.3"/>
    <row r="244" spans="1:4" hidden="1" x14ac:dyDescent="0.3">
      <c r="A244" t="str">
        <f>'F3 - Formations et absences enc'!B2</f>
        <v>Heures de maladie longue durée pour l'année de recensement (dépassement du 77ème jour)</v>
      </c>
      <c r="B244" s="304">
        <f>'F3 - Formations et absences enc'!B4</f>
        <v>0</v>
      </c>
    </row>
    <row r="245" spans="1:4" hidden="1" x14ac:dyDescent="0.3">
      <c r="A245" t="str">
        <f>'F3 - Formations et absences enc'!C2</f>
        <v>Heures de congé de maternité et d'accueil pour l'année de recensement</v>
      </c>
      <c r="B245" s="304">
        <f>'F3 - Formations et absences enc'!C4</f>
        <v>0</v>
      </c>
    </row>
    <row r="246" spans="1:4" hidden="1" x14ac:dyDescent="0.3">
      <c r="A246" t="str">
        <f>'F3 - Formations et absences enc'!D2</f>
        <v>Heures de dispense de travail pour l'année de recensement</v>
      </c>
      <c r="B246" s="304">
        <f>'F3 - Formations et absences enc'!D4</f>
        <v>0</v>
      </c>
    </row>
    <row r="247" spans="1:4" hidden="1" x14ac:dyDescent="0.3">
      <c r="A247" t="str">
        <f>'F3 - Formations et absences enc'!E2</f>
        <v>Autres types d'absences pour l'année de recensement donnant naissance à du congé*</v>
      </c>
      <c r="B247" s="304">
        <f>'F3 - Formations et absences enc'!E4</f>
        <v>0</v>
      </c>
    </row>
    <row r="248" spans="1:4" hidden="1" x14ac:dyDescent="0.3">
      <c r="A248" t="s">
        <v>743</v>
      </c>
      <c r="B248" s="304">
        <f>SUM(B244:B247)</f>
        <v>0</v>
      </c>
      <c r="C248" s="646" t="e">
        <f>B248/$B$29</f>
        <v>#DIV/0!</v>
      </c>
      <c r="D248" s="646" t="e">
        <f>C248/8</f>
        <v>#DIV/0!</v>
      </c>
    </row>
    <row r="249" spans="1:4" hidden="1" x14ac:dyDescent="0.3"/>
    <row r="250" spans="1:4" hidden="1" x14ac:dyDescent="0.3">
      <c r="A250" t="s">
        <v>744</v>
      </c>
      <c r="B250" s="304">
        <f>B242+B248</f>
        <v>0</v>
      </c>
      <c r="C250" s="646" t="e">
        <f>B250/$B$29</f>
        <v>#DIV/0!</v>
      </c>
      <c r="D250" s="646" t="e">
        <f>C250/8</f>
        <v>#DIV/0!</v>
      </c>
    </row>
  </sheetData>
  <conditionalFormatting sqref="E195">
    <cfRule type="expression" dxfId="5" priority="4">
      <formula>$E$46&gt;$F$32</formula>
    </cfRule>
    <cfRule type="expression" dxfId="4" priority="5">
      <formula>"$B$35&lt;$F$21"</formula>
    </cfRule>
    <cfRule type="expression" dxfId="3" priority="6">
      <formula>"$F$21=&lt;$B$35=&lt;$F$23"</formula>
    </cfRule>
  </conditionalFormatting>
  <conditionalFormatting sqref="F186">
    <cfRule type="expression" dxfId="2" priority="1">
      <formula>$F$37&gt;1.1*$H$15</formula>
    </cfRule>
  </conditionalFormatting>
  <conditionalFormatting sqref="F187">
    <cfRule type="expression" dxfId="1" priority="2">
      <formula>$F$38&gt;1.1*$H$16</formula>
    </cfRule>
  </conditionalFormatting>
  <conditionalFormatting sqref="F188">
    <cfRule type="expression" dxfId="0" priority="3">
      <formula>$F$39&gt;1.1*$H$17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MZ53"/>
  <sheetViews>
    <sheetView zoomScale="70" zoomScaleNormal="70" workbookViewId="0">
      <selection activeCell="E13" sqref="E13"/>
    </sheetView>
  </sheetViews>
  <sheetFormatPr defaultColWidth="12.33203125" defaultRowHeight="13.8" x14ac:dyDescent="0.25"/>
  <cols>
    <col min="1" max="1" width="24.109375" style="334" customWidth="1"/>
    <col min="2" max="2" width="14.109375" style="334" customWidth="1"/>
    <col min="3" max="3" width="24.109375" style="337" customWidth="1"/>
    <col min="4" max="7" width="19.33203125" style="334" customWidth="1"/>
    <col min="8" max="10" width="20.33203125" style="334" customWidth="1"/>
    <col min="11" max="12" width="12.33203125" style="231"/>
    <col min="13" max="13" width="24.109375" style="334" customWidth="1"/>
    <col min="14" max="14" width="14.109375" style="334" customWidth="1"/>
    <col min="15" max="15" width="24.109375" style="337" customWidth="1"/>
    <col min="16" max="20" width="19.33203125" style="334" customWidth="1"/>
    <col min="21" max="25" width="20.33203125" style="334" customWidth="1"/>
    <col min="26" max="27" width="9.88671875" style="333" customWidth="1"/>
    <col min="28" max="29" width="9.44140625" style="333" customWidth="1"/>
    <col min="30" max="31" width="9.88671875" style="333" customWidth="1"/>
    <col min="32" max="35" width="9.44140625" style="333" customWidth="1"/>
    <col min="36" max="37" width="9.88671875" style="333" customWidth="1"/>
    <col min="38" max="39" width="9.44140625" style="333" customWidth="1"/>
    <col min="40" max="40" width="9.88671875" style="333" customWidth="1"/>
    <col min="41" max="44" width="9.44140625" style="333" customWidth="1"/>
    <col min="45" max="45" width="9.88671875" style="333" customWidth="1"/>
    <col min="46" max="46" width="9.44140625" style="333" customWidth="1"/>
    <col min="47" max="48" width="9.88671875" style="333" customWidth="1"/>
    <col min="49" max="1040" width="9.44140625" style="334" customWidth="1"/>
    <col min="1041" max="16384" width="12.33203125" style="231"/>
  </cols>
  <sheetData>
    <row r="1" spans="1:28" s="342" customFormat="1" ht="36.75" customHeight="1" thickBot="1" x14ac:dyDescent="0.3">
      <c r="A1" s="335"/>
      <c r="B1" s="335"/>
      <c r="C1" s="335"/>
      <c r="D1" s="689" t="s">
        <v>483</v>
      </c>
      <c r="E1" s="689"/>
      <c r="F1" s="689"/>
      <c r="G1" s="689"/>
      <c r="H1" s="689"/>
      <c r="I1" s="689"/>
      <c r="J1" s="335"/>
      <c r="M1" s="335"/>
      <c r="N1" s="335"/>
      <c r="O1" s="335"/>
      <c r="P1" s="335"/>
      <c r="Q1" s="689" t="s">
        <v>449</v>
      </c>
      <c r="R1" s="689"/>
      <c r="S1" s="689"/>
      <c r="T1" s="689"/>
      <c r="U1" s="689"/>
      <c r="V1" s="689"/>
      <c r="W1" s="689"/>
      <c r="X1" s="689"/>
      <c r="Y1" s="335"/>
      <c r="Z1" s="335"/>
      <c r="AA1" s="335"/>
      <c r="AB1" s="335"/>
    </row>
    <row r="2" spans="1:28" s="342" customFormat="1" ht="36" customHeight="1" thickBot="1" x14ac:dyDescent="0.3">
      <c r="A2" s="335"/>
      <c r="B2" s="335"/>
      <c r="C2" s="335"/>
      <c r="D2" s="690" t="s">
        <v>458</v>
      </c>
      <c r="E2" s="691"/>
      <c r="F2" s="691"/>
      <c r="G2" s="691"/>
      <c r="H2" s="691"/>
      <c r="I2" s="692"/>
      <c r="J2" s="335"/>
      <c r="M2" s="335"/>
      <c r="N2" s="335"/>
      <c r="O2" s="335"/>
      <c r="P2" s="335"/>
      <c r="Q2" s="690" t="s">
        <v>450</v>
      </c>
      <c r="R2" s="691"/>
      <c r="S2" s="691"/>
      <c r="T2" s="691"/>
      <c r="U2" s="691"/>
      <c r="V2" s="692"/>
      <c r="W2" s="689" t="s">
        <v>451</v>
      </c>
      <c r="X2" s="689"/>
      <c r="Y2" s="335"/>
      <c r="Z2" s="335"/>
      <c r="AA2" s="335"/>
      <c r="AB2" s="335"/>
    </row>
    <row r="3" spans="1:28" s="342" customFormat="1" ht="55.5" customHeight="1" thickBot="1" x14ac:dyDescent="0.3">
      <c r="A3" s="693" t="s">
        <v>460</v>
      </c>
      <c r="B3" s="694"/>
      <c r="C3" s="344" t="s">
        <v>461</v>
      </c>
      <c r="D3" s="338">
        <v>7</v>
      </c>
      <c r="E3" s="338" t="s">
        <v>17</v>
      </c>
      <c r="F3" s="338" t="s">
        <v>19</v>
      </c>
      <c r="G3" s="338" t="s">
        <v>21</v>
      </c>
      <c r="H3" s="338" t="s">
        <v>23</v>
      </c>
      <c r="I3" s="338">
        <v>11</v>
      </c>
      <c r="J3" s="340" t="s">
        <v>94</v>
      </c>
      <c r="M3" s="693" t="s">
        <v>452</v>
      </c>
      <c r="N3" s="694"/>
      <c r="O3" s="344" t="s">
        <v>453</v>
      </c>
      <c r="P3" s="344" t="s">
        <v>454</v>
      </c>
      <c r="Q3" s="338" t="s">
        <v>182</v>
      </c>
      <c r="R3" s="338" t="s">
        <v>183</v>
      </c>
      <c r="S3" s="338" t="s">
        <v>184</v>
      </c>
      <c r="T3" s="338" t="s">
        <v>185</v>
      </c>
      <c r="U3" s="338" t="s">
        <v>186</v>
      </c>
      <c r="V3" s="338" t="s">
        <v>444</v>
      </c>
      <c r="W3" s="339" t="s">
        <v>187</v>
      </c>
      <c r="X3" s="339" t="s">
        <v>188</v>
      </c>
      <c r="Y3" s="340" t="s">
        <v>94</v>
      </c>
      <c r="Z3" s="335"/>
      <c r="AA3" s="335"/>
      <c r="AB3" s="335"/>
    </row>
    <row r="4" spans="1:28" s="342" customFormat="1" ht="38.25" customHeight="1" thickBot="1" x14ac:dyDescent="0.3">
      <c r="A4" s="695" t="s">
        <v>459</v>
      </c>
      <c r="B4" s="696"/>
      <c r="C4" s="344"/>
      <c r="D4" s="339"/>
      <c r="E4" s="339"/>
      <c r="F4" s="339"/>
      <c r="G4" s="339"/>
      <c r="H4" s="339"/>
      <c r="I4" s="339"/>
      <c r="J4" s="340"/>
      <c r="M4" s="695" t="s">
        <v>455</v>
      </c>
      <c r="N4" s="696"/>
      <c r="O4" s="344"/>
      <c r="P4" s="344"/>
      <c r="Q4" s="339"/>
      <c r="R4" s="339"/>
      <c r="S4" s="339"/>
      <c r="T4" s="339"/>
      <c r="U4" s="339"/>
      <c r="V4" s="339"/>
      <c r="W4" s="339"/>
      <c r="X4" s="339"/>
      <c r="Y4" s="340"/>
      <c r="Z4" s="335"/>
      <c r="AA4" s="335"/>
      <c r="AB4" s="335"/>
    </row>
    <row r="5" spans="1:28" s="342" customFormat="1" thickBot="1" x14ac:dyDescent="0.3">
      <c r="A5" s="345" t="s">
        <v>465</v>
      </c>
      <c r="B5" s="346"/>
      <c r="C5" s="347"/>
      <c r="D5" s="347"/>
      <c r="E5" s="347"/>
      <c r="F5" s="347"/>
      <c r="G5" s="347"/>
      <c r="H5" s="347"/>
      <c r="I5" s="347"/>
      <c r="J5" s="341">
        <f t="shared" ref="J5:J19" si="0">SUM(D5:I5)</f>
        <v>0</v>
      </c>
      <c r="M5" s="345" t="s">
        <v>465</v>
      </c>
      <c r="N5" s="346"/>
      <c r="O5" s="347"/>
      <c r="P5" s="347"/>
      <c r="Q5" s="347"/>
      <c r="R5" s="347"/>
      <c r="S5" s="347"/>
      <c r="T5" s="347"/>
      <c r="U5" s="347"/>
      <c r="V5" s="347"/>
      <c r="W5" s="347"/>
      <c r="X5" s="347"/>
      <c r="Y5" s="341">
        <f>SUM(Q5:X5)</f>
        <v>0</v>
      </c>
      <c r="Z5" s="335"/>
      <c r="AA5" s="336"/>
      <c r="AB5" s="336"/>
    </row>
    <row r="6" spans="1:28" s="342" customFormat="1" thickBot="1" x14ac:dyDescent="0.3">
      <c r="A6" s="345" t="s">
        <v>466</v>
      </c>
      <c r="B6" s="346"/>
      <c r="C6" s="347"/>
      <c r="D6" s="347"/>
      <c r="E6" s="347"/>
      <c r="F6" s="347"/>
      <c r="G6" s="347"/>
      <c r="H6" s="347"/>
      <c r="I6" s="347"/>
      <c r="J6" s="341">
        <f t="shared" si="0"/>
        <v>0</v>
      </c>
      <c r="M6" s="345" t="s">
        <v>466</v>
      </c>
      <c r="N6" s="346"/>
      <c r="O6" s="347"/>
      <c r="P6" s="347"/>
      <c r="Q6" s="347"/>
      <c r="R6" s="347"/>
      <c r="S6" s="347"/>
      <c r="T6" s="347"/>
      <c r="U6" s="347"/>
      <c r="V6" s="347"/>
      <c r="W6" s="347"/>
      <c r="X6" s="347"/>
      <c r="Y6" s="341">
        <f t="shared" ref="Y6:Y19" si="1">SUM(Q6:X6)</f>
        <v>0</v>
      </c>
      <c r="Z6" s="335"/>
      <c r="AA6" s="336"/>
      <c r="AB6" s="336"/>
    </row>
    <row r="7" spans="1:28" s="342" customFormat="1" thickBot="1" x14ac:dyDescent="0.3">
      <c r="A7" s="345" t="s">
        <v>467</v>
      </c>
      <c r="B7" s="346"/>
      <c r="C7" s="347"/>
      <c r="D7" s="347"/>
      <c r="E7" s="347"/>
      <c r="F7" s="347"/>
      <c r="G7" s="347"/>
      <c r="H7" s="347"/>
      <c r="I7" s="347"/>
      <c r="J7" s="341">
        <f t="shared" si="0"/>
        <v>0</v>
      </c>
      <c r="M7" s="345" t="s">
        <v>467</v>
      </c>
      <c r="N7" s="346"/>
      <c r="O7" s="347"/>
      <c r="P7" s="347"/>
      <c r="Q7" s="347"/>
      <c r="R7" s="347"/>
      <c r="S7" s="347"/>
      <c r="T7" s="347"/>
      <c r="U7" s="347"/>
      <c r="V7" s="347"/>
      <c r="W7" s="347"/>
      <c r="X7" s="347"/>
      <c r="Y7" s="341">
        <f t="shared" si="1"/>
        <v>0</v>
      </c>
      <c r="Z7" s="335"/>
      <c r="AA7" s="336"/>
      <c r="AB7" s="336"/>
    </row>
    <row r="8" spans="1:28" s="342" customFormat="1" thickBot="1" x14ac:dyDescent="0.3">
      <c r="A8" s="345" t="s">
        <v>468</v>
      </c>
      <c r="B8" s="346"/>
      <c r="C8" s="347"/>
      <c r="D8" s="347"/>
      <c r="E8" s="347"/>
      <c r="F8" s="347"/>
      <c r="G8" s="347"/>
      <c r="H8" s="347"/>
      <c r="I8" s="347"/>
      <c r="J8" s="341">
        <f t="shared" si="0"/>
        <v>0</v>
      </c>
      <c r="M8" s="345" t="s">
        <v>468</v>
      </c>
      <c r="N8" s="346"/>
      <c r="O8" s="347"/>
      <c r="P8" s="347"/>
      <c r="Q8" s="347"/>
      <c r="R8" s="347"/>
      <c r="S8" s="347"/>
      <c r="T8" s="347"/>
      <c r="U8" s="347"/>
      <c r="V8" s="347"/>
      <c r="W8" s="347"/>
      <c r="X8" s="347"/>
      <c r="Y8" s="341">
        <f t="shared" si="1"/>
        <v>0</v>
      </c>
      <c r="Z8" s="335"/>
      <c r="AA8" s="336"/>
      <c r="AB8" s="336"/>
    </row>
    <row r="9" spans="1:28" s="342" customFormat="1" thickBot="1" x14ac:dyDescent="0.3">
      <c r="A9" s="345" t="s">
        <v>469</v>
      </c>
      <c r="B9" s="348"/>
      <c r="C9" s="401"/>
      <c r="D9" s="347"/>
      <c r="E9" s="347"/>
      <c r="F9" s="347"/>
      <c r="G9" s="347"/>
      <c r="H9" s="347"/>
      <c r="I9" s="347"/>
      <c r="J9" s="341">
        <f t="shared" si="0"/>
        <v>0</v>
      </c>
      <c r="M9" s="345" t="s">
        <v>469</v>
      </c>
      <c r="N9" s="348"/>
      <c r="O9" s="349"/>
      <c r="P9" s="347"/>
      <c r="Q9" s="347"/>
      <c r="R9" s="347"/>
      <c r="S9" s="347"/>
      <c r="T9" s="347"/>
      <c r="U9" s="347"/>
      <c r="V9" s="347"/>
      <c r="W9" s="347"/>
      <c r="X9" s="347"/>
      <c r="Y9" s="341">
        <f>SUM(Q9:X9)</f>
        <v>0</v>
      </c>
      <c r="Z9" s="335"/>
      <c r="AA9" s="336"/>
      <c r="AB9" s="336"/>
    </row>
    <row r="10" spans="1:28" s="342" customFormat="1" thickBot="1" x14ac:dyDescent="0.3">
      <c r="A10" s="345" t="s">
        <v>470</v>
      </c>
      <c r="B10" s="348"/>
      <c r="C10" s="403"/>
      <c r="D10" s="350"/>
      <c r="E10" s="347"/>
      <c r="F10" s="347"/>
      <c r="G10" s="347"/>
      <c r="H10" s="347"/>
      <c r="I10" s="347"/>
      <c r="J10" s="341">
        <f t="shared" si="0"/>
        <v>0</v>
      </c>
      <c r="M10" s="345" t="s">
        <v>470</v>
      </c>
      <c r="N10" s="348"/>
      <c r="O10" s="349"/>
      <c r="P10" s="347"/>
      <c r="Q10" s="350"/>
      <c r="R10" s="347"/>
      <c r="S10" s="347"/>
      <c r="T10" s="347"/>
      <c r="U10" s="347"/>
      <c r="V10" s="347"/>
      <c r="W10" s="347"/>
      <c r="X10" s="347"/>
      <c r="Y10" s="341">
        <f t="shared" si="1"/>
        <v>0</v>
      </c>
      <c r="Z10" s="335"/>
      <c r="AA10" s="336"/>
      <c r="AB10" s="336"/>
    </row>
    <row r="11" spans="1:28" s="342" customFormat="1" thickBot="1" x14ac:dyDescent="0.3">
      <c r="A11" s="345" t="s">
        <v>471</v>
      </c>
      <c r="B11" s="348"/>
      <c r="C11" s="402"/>
      <c r="D11" s="347"/>
      <c r="E11" s="347"/>
      <c r="F11" s="347"/>
      <c r="G11" s="347"/>
      <c r="H11" s="347"/>
      <c r="I11" s="347"/>
      <c r="J11" s="341">
        <f t="shared" si="0"/>
        <v>0</v>
      </c>
      <c r="M11" s="345" t="s">
        <v>471</v>
      </c>
      <c r="N11" s="348"/>
      <c r="O11" s="349"/>
      <c r="P11" s="347"/>
      <c r="Q11" s="347"/>
      <c r="R11" s="347"/>
      <c r="S11" s="347"/>
      <c r="T11" s="347"/>
      <c r="U11" s="347"/>
      <c r="V11" s="347"/>
      <c r="W11" s="347"/>
      <c r="X11" s="347"/>
      <c r="Y11" s="341">
        <f t="shared" si="1"/>
        <v>0</v>
      </c>
      <c r="Z11" s="335"/>
      <c r="AA11" s="336"/>
      <c r="AB11" s="336"/>
    </row>
    <row r="12" spans="1:28" s="342" customFormat="1" thickBot="1" x14ac:dyDescent="0.3">
      <c r="A12" s="345" t="s">
        <v>472</v>
      </c>
      <c r="B12" s="348"/>
      <c r="C12" s="349"/>
      <c r="D12" s="347"/>
      <c r="E12" s="347"/>
      <c r="F12" s="347"/>
      <c r="G12" s="347"/>
      <c r="H12" s="347"/>
      <c r="I12" s="347"/>
      <c r="J12" s="341">
        <f t="shared" si="0"/>
        <v>0</v>
      </c>
      <c r="M12" s="345" t="s">
        <v>472</v>
      </c>
      <c r="N12" s="348"/>
      <c r="O12" s="349"/>
      <c r="P12" s="347"/>
      <c r="Q12" s="347"/>
      <c r="R12" s="347"/>
      <c r="S12" s="347"/>
      <c r="T12" s="347"/>
      <c r="U12" s="347"/>
      <c r="V12" s="347"/>
      <c r="W12" s="347"/>
      <c r="X12" s="347"/>
      <c r="Y12" s="341">
        <f t="shared" si="1"/>
        <v>0</v>
      </c>
      <c r="Z12" s="335"/>
      <c r="AA12" s="336"/>
      <c r="AB12" s="336"/>
    </row>
    <row r="13" spans="1:28" s="342" customFormat="1" thickBot="1" x14ac:dyDescent="0.3">
      <c r="A13" s="345" t="s">
        <v>473</v>
      </c>
      <c r="B13" s="348"/>
      <c r="C13" s="349"/>
      <c r="D13" s="347"/>
      <c r="E13" s="347"/>
      <c r="F13" s="347"/>
      <c r="G13" s="347"/>
      <c r="H13" s="347"/>
      <c r="I13" s="347"/>
      <c r="J13" s="341">
        <f t="shared" si="0"/>
        <v>0</v>
      </c>
      <c r="M13" s="345" t="s">
        <v>473</v>
      </c>
      <c r="N13" s="348"/>
      <c r="O13" s="349"/>
      <c r="P13" s="347"/>
      <c r="Q13" s="347"/>
      <c r="R13" s="347"/>
      <c r="S13" s="347"/>
      <c r="T13" s="347"/>
      <c r="U13" s="347"/>
      <c r="V13" s="347"/>
      <c r="W13" s="347"/>
      <c r="X13" s="347"/>
      <c r="Y13" s="341">
        <f t="shared" si="1"/>
        <v>0</v>
      </c>
      <c r="Z13" s="335"/>
      <c r="AA13" s="336"/>
      <c r="AB13" s="336"/>
    </row>
    <row r="14" spans="1:28" s="342" customFormat="1" thickBot="1" x14ac:dyDescent="0.3">
      <c r="A14" s="345" t="s">
        <v>474</v>
      </c>
      <c r="B14" s="348"/>
      <c r="C14" s="349"/>
      <c r="D14" s="347"/>
      <c r="E14" s="347"/>
      <c r="F14" s="347"/>
      <c r="G14" s="347"/>
      <c r="H14" s="347"/>
      <c r="I14" s="347"/>
      <c r="J14" s="341">
        <f t="shared" si="0"/>
        <v>0</v>
      </c>
      <c r="M14" s="345" t="s">
        <v>474</v>
      </c>
      <c r="N14" s="348"/>
      <c r="O14" s="349"/>
      <c r="P14" s="347"/>
      <c r="Q14" s="347"/>
      <c r="R14" s="347"/>
      <c r="S14" s="347"/>
      <c r="T14" s="347"/>
      <c r="U14" s="347"/>
      <c r="V14" s="347"/>
      <c r="W14" s="347"/>
      <c r="X14" s="347"/>
      <c r="Y14" s="341">
        <f t="shared" si="1"/>
        <v>0</v>
      </c>
      <c r="Z14" s="335"/>
      <c r="AA14" s="336"/>
      <c r="AB14" s="336"/>
    </row>
    <row r="15" spans="1:28" s="342" customFormat="1" thickBot="1" x14ac:dyDescent="0.3">
      <c r="A15" s="345" t="s">
        <v>475</v>
      </c>
      <c r="B15" s="348"/>
      <c r="C15" s="349"/>
      <c r="D15" s="347"/>
      <c r="E15" s="347"/>
      <c r="F15" s="347"/>
      <c r="G15" s="347"/>
      <c r="H15" s="347"/>
      <c r="I15" s="347"/>
      <c r="J15" s="341">
        <f t="shared" si="0"/>
        <v>0</v>
      </c>
      <c r="M15" s="345" t="s">
        <v>475</v>
      </c>
      <c r="N15" s="348"/>
      <c r="O15" s="349"/>
      <c r="P15" s="347"/>
      <c r="Q15" s="347"/>
      <c r="R15" s="347"/>
      <c r="S15" s="347"/>
      <c r="T15" s="347"/>
      <c r="U15" s="347"/>
      <c r="V15" s="347"/>
      <c r="W15" s="347"/>
      <c r="X15" s="347"/>
      <c r="Y15" s="341">
        <f t="shared" si="1"/>
        <v>0</v>
      </c>
      <c r="Z15" s="335"/>
      <c r="AA15" s="336"/>
      <c r="AB15" s="336"/>
    </row>
    <row r="16" spans="1:28" s="342" customFormat="1" thickBot="1" x14ac:dyDescent="0.3">
      <c r="A16" s="345" t="s">
        <v>476</v>
      </c>
      <c r="B16" s="348"/>
      <c r="C16" s="349"/>
      <c r="D16" s="347"/>
      <c r="E16" s="347"/>
      <c r="F16" s="347"/>
      <c r="G16" s="347"/>
      <c r="H16" s="347"/>
      <c r="I16" s="347"/>
      <c r="J16" s="341">
        <f t="shared" si="0"/>
        <v>0</v>
      </c>
      <c r="M16" s="345" t="s">
        <v>476</v>
      </c>
      <c r="N16" s="348"/>
      <c r="O16" s="349"/>
      <c r="P16" s="347"/>
      <c r="Q16" s="347"/>
      <c r="R16" s="347"/>
      <c r="S16" s="347"/>
      <c r="T16" s="347"/>
      <c r="U16" s="347"/>
      <c r="V16" s="347"/>
      <c r="W16" s="347"/>
      <c r="X16" s="347"/>
      <c r="Y16" s="341">
        <f t="shared" si="1"/>
        <v>0</v>
      </c>
      <c r="Z16" s="335"/>
      <c r="AA16" s="336"/>
      <c r="AB16" s="336"/>
    </row>
    <row r="17" spans="1:1040" s="342" customFormat="1" thickBot="1" x14ac:dyDescent="0.3">
      <c r="A17" s="345" t="s">
        <v>477</v>
      </c>
      <c r="B17" s="348"/>
      <c r="C17" s="349"/>
      <c r="D17" s="347"/>
      <c r="E17" s="347"/>
      <c r="F17" s="347"/>
      <c r="G17" s="347"/>
      <c r="H17" s="347"/>
      <c r="I17" s="347"/>
      <c r="J17" s="341">
        <f t="shared" si="0"/>
        <v>0</v>
      </c>
      <c r="M17" s="345" t="s">
        <v>477</v>
      </c>
      <c r="N17" s="348"/>
      <c r="O17" s="349"/>
      <c r="P17" s="347"/>
      <c r="Q17" s="347"/>
      <c r="R17" s="347"/>
      <c r="S17" s="347"/>
      <c r="T17" s="347"/>
      <c r="U17" s="347"/>
      <c r="V17" s="347"/>
      <c r="W17" s="347"/>
      <c r="X17" s="347"/>
      <c r="Y17" s="341">
        <f t="shared" si="1"/>
        <v>0</v>
      </c>
      <c r="Z17" s="335"/>
      <c r="AA17" s="336"/>
      <c r="AB17" s="336"/>
    </row>
    <row r="18" spans="1:1040" s="342" customFormat="1" thickBot="1" x14ac:dyDescent="0.3">
      <c r="A18" s="345" t="s">
        <v>478</v>
      </c>
      <c r="B18" s="348"/>
      <c r="C18" s="349"/>
      <c r="D18" s="347"/>
      <c r="E18" s="347"/>
      <c r="F18" s="347"/>
      <c r="G18" s="347"/>
      <c r="H18" s="347"/>
      <c r="I18" s="347"/>
      <c r="J18" s="341">
        <f t="shared" si="0"/>
        <v>0</v>
      </c>
      <c r="M18" s="345" t="s">
        <v>478</v>
      </c>
      <c r="N18" s="348"/>
      <c r="O18" s="349"/>
      <c r="P18" s="347"/>
      <c r="Q18" s="347"/>
      <c r="R18" s="347"/>
      <c r="S18" s="347"/>
      <c r="T18" s="347"/>
      <c r="U18" s="347"/>
      <c r="V18" s="347"/>
      <c r="W18" s="347"/>
      <c r="X18" s="347"/>
      <c r="Y18" s="341">
        <f t="shared" si="1"/>
        <v>0</v>
      </c>
      <c r="Z18" s="335"/>
      <c r="AA18" s="336"/>
      <c r="AB18" s="336"/>
    </row>
    <row r="19" spans="1:1040" s="342" customFormat="1" ht="26.25" customHeight="1" thickBot="1" x14ac:dyDescent="0.3">
      <c r="A19" s="345" t="s">
        <v>479</v>
      </c>
      <c r="B19" s="348"/>
      <c r="C19" s="349"/>
      <c r="D19" s="347"/>
      <c r="E19" s="347"/>
      <c r="F19" s="347"/>
      <c r="G19" s="347"/>
      <c r="H19" s="347"/>
      <c r="I19" s="347"/>
      <c r="J19" s="341">
        <f t="shared" si="0"/>
        <v>0</v>
      </c>
      <c r="M19" s="345" t="s">
        <v>479</v>
      </c>
      <c r="N19" s="348"/>
      <c r="O19" s="349"/>
      <c r="P19" s="347"/>
      <c r="Q19" s="347"/>
      <c r="R19" s="347"/>
      <c r="S19" s="347"/>
      <c r="T19" s="347"/>
      <c r="U19" s="347"/>
      <c r="V19" s="347"/>
      <c r="W19" s="347"/>
      <c r="X19" s="347"/>
      <c r="Y19" s="341">
        <f t="shared" si="1"/>
        <v>0</v>
      </c>
      <c r="Z19" s="335"/>
    </row>
    <row r="20" spans="1:1040" s="342" customFormat="1" thickBot="1" x14ac:dyDescent="0.3">
      <c r="A20" s="351" t="s">
        <v>94</v>
      </c>
      <c r="B20" s="352"/>
      <c r="C20" s="340">
        <f>COUNTA(C5:C19)</f>
        <v>0</v>
      </c>
      <c r="D20" s="340">
        <f t="shared" ref="D20:J20" si="2">SUM(D5:D19)</f>
        <v>0</v>
      </c>
      <c r="E20" s="340">
        <f t="shared" si="2"/>
        <v>0</v>
      </c>
      <c r="F20" s="340">
        <f t="shared" si="2"/>
        <v>0</v>
      </c>
      <c r="G20" s="340">
        <f t="shared" si="2"/>
        <v>0</v>
      </c>
      <c r="H20" s="340">
        <f t="shared" si="2"/>
        <v>0</v>
      </c>
      <c r="I20" s="340">
        <f t="shared" si="2"/>
        <v>0</v>
      </c>
      <c r="J20" s="341">
        <f t="shared" si="2"/>
        <v>0</v>
      </c>
      <c r="M20" s="351" t="s">
        <v>94</v>
      </c>
      <c r="N20" s="352"/>
      <c r="O20" s="340">
        <f>COUNTA(O5:O19)</f>
        <v>0</v>
      </c>
      <c r="P20" s="340">
        <f>SUM(P5:P19)</f>
        <v>0</v>
      </c>
      <c r="Q20" s="340">
        <f>SUM(Q5:Q19)</f>
        <v>0</v>
      </c>
      <c r="R20" s="340">
        <f>SUM(R5:R19)</f>
        <v>0</v>
      </c>
      <c r="S20" s="340">
        <f t="shared" ref="S20:X20" si="3">SUM(S5:S19)</f>
        <v>0</v>
      </c>
      <c r="T20" s="340">
        <f t="shared" si="3"/>
        <v>0</v>
      </c>
      <c r="U20" s="340">
        <f t="shared" si="3"/>
        <v>0</v>
      </c>
      <c r="V20" s="340">
        <f t="shared" si="3"/>
        <v>0</v>
      </c>
      <c r="W20" s="340">
        <f t="shared" si="3"/>
        <v>0</v>
      </c>
      <c r="X20" s="340">
        <f t="shared" si="3"/>
        <v>0</v>
      </c>
      <c r="Y20" s="341">
        <f>SUM(Y5:Y19)</f>
        <v>0</v>
      </c>
      <c r="Z20" s="335"/>
    </row>
    <row r="21" spans="1:1040" s="333" customFormat="1" ht="13.2" x14ac:dyDescent="0.25">
      <c r="A21" s="335"/>
      <c r="B21" s="335"/>
      <c r="C21" s="335"/>
      <c r="D21" s="335"/>
      <c r="E21" s="335"/>
      <c r="F21" s="335"/>
      <c r="G21" s="335"/>
      <c r="H21" s="335"/>
      <c r="I21" s="335"/>
      <c r="J21" s="335"/>
      <c r="M21" s="334"/>
      <c r="N21" s="334"/>
      <c r="O21" s="334"/>
      <c r="P21" s="334"/>
      <c r="Q21" s="334"/>
      <c r="R21" s="334"/>
      <c r="S21" s="334"/>
      <c r="T21" s="334"/>
      <c r="U21" s="334"/>
      <c r="V21" s="334"/>
      <c r="W21" s="334"/>
      <c r="X21" s="334"/>
      <c r="Y21" s="334"/>
      <c r="Z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4"/>
      <c r="DE21" s="334"/>
      <c r="DF21" s="334"/>
      <c r="DG21" s="334"/>
      <c r="DH21" s="334"/>
      <c r="DI21" s="334"/>
      <c r="DJ21" s="334"/>
      <c r="DK21" s="334"/>
      <c r="DL21" s="334"/>
      <c r="DM21" s="334"/>
      <c r="DN21" s="334"/>
      <c r="DO21" s="334"/>
      <c r="DP21" s="334"/>
      <c r="DQ21" s="334"/>
      <c r="DR21" s="334"/>
      <c r="DS21" s="334"/>
      <c r="DT21" s="334"/>
      <c r="DU21" s="334"/>
      <c r="DV21" s="334"/>
      <c r="DW21" s="334"/>
      <c r="DX21" s="334"/>
      <c r="DY21" s="334"/>
      <c r="DZ21" s="334"/>
      <c r="EA21" s="334"/>
      <c r="EB21" s="334"/>
      <c r="EC21" s="334"/>
      <c r="ED21" s="334"/>
      <c r="EE21" s="334"/>
      <c r="EF21" s="334"/>
      <c r="EG21" s="334"/>
      <c r="EH21" s="334"/>
      <c r="EI21" s="334"/>
      <c r="EJ21" s="334"/>
      <c r="EK21" s="334"/>
      <c r="EL21" s="334"/>
      <c r="EM21" s="334"/>
      <c r="EN21" s="334"/>
      <c r="EO21" s="334"/>
      <c r="EP21" s="334"/>
      <c r="EQ21" s="334"/>
      <c r="ER21" s="334"/>
      <c r="ES21" s="334"/>
      <c r="ET21" s="334"/>
      <c r="EU21" s="334"/>
      <c r="EV21" s="334"/>
      <c r="EW21" s="334"/>
      <c r="EX21" s="334"/>
      <c r="EY21" s="334"/>
      <c r="EZ21" s="334"/>
      <c r="FA21" s="334"/>
      <c r="FB21" s="334"/>
      <c r="FC21" s="334"/>
      <c r="FD21" s="334"/>
      <c r="FE21" s="334"/>
      <c r="FF21" s="334"/>
      <c r="FG21" s="334"/>
      <c r="FH21" s="334"/>
      <c r="FI21" s="334"/>
      <c r="FJ21" s="334"/>
      <c r="FK21" s="334"/>
      <c r="FL21" s="334"/>
      <c r="FM21" s="334"/>
      <c r="FN21" s="334"/>
      <c r="FO21" s="334"/>
      <c r="FP21" s="334"/>
      <c r="FQ21" s="334"/>
      <c r="FR21" s="334"/>
      <c r="FS21" s="334"/>
      <c r="FT21" s="334"/>
      <c r="FU21" s="334"/>
      <c r="FV21" s="334"/>
      <c r="FW21" s="334"/>
      <c r="FX21" s="334"/>
      <c r="FY21" s="334"/>
      <c r="FZ21" s="334"/>
      <c r="GA21" s="334"/>
      <c r="GB21" s="334"/>
      <c r="GC21" s="334"/>
      <c r="GD21" s="334"/>
      <c r="GE21" s="334"/>
      <c r="GF21" s="334"/>
      <c r="GG21" s="334"/>
      <c r="GH21" s="334"/>
      <c r="GI21" s="334"/>
      <c r="GJ21" s="334"/>
      <c r="GK21" s="334"/>
      <c r="GL21" s="334"/>
      <c r="GM21" s="334"/>
      <c r="GN21" s="334"/>
      <c r="GO21" s="334"/>
      <c r="GP21" s="334"/>
      <c r="GQ21" s="334"/>
      <c r="GR21" s="334"/>
      <c r="GS21" s="334"/>
      <c r="GT21" s="334"/>
      <c r="GU21" s="334"/>
      <c r="GV21" s="334"/>
      <c r="GW21" s="334"/>
      <c r="GX21" s="334"/>
      <c r="GY21" s="334"/>
      <c r="GZ21" s="334"/>
      <c r="HA21" s="334"/>
      <c r="HB21" s="334"/>
      <c r="HC21" s="334"/>
      <c r="HD21" s="334"/>
      <c r="HE21" s="334"/>
      <c r="HF21" s="334"/>
      <c r="HG21" s="334"/>
      <c r="HH21" s="334"/>
      <c r="HI21" s="334"/>
      <c r="HJ21" s="334"/>
      <c r="HK21" s="334"/>
      <c r="HL21" s="334"/>
      <c r="HM21" s="334"/>
      <c r="HN21" s="334"/>
      <c r="HO21" s="334"/>
      <c r="HP21" s="334"/>
      <c r="HQ21" s="334"/>
      <c r="HR21" s="334"/>
      <c r="HS21" s="334"/>
      <c r="HT21" s="334"/>
      <c r="HU21" s="334"/>
      <c r="HV21" s="334"/>
      <c r="HW21" s="334"/>
      <c r="HX21" s="334"/>
      <c r="HY21" s="334"/>
      <c r="HZ21" s="334"/>
      <c r="IA21" s="334"/>
      <c r="IB21" s="334"/>
      <c r="IC21" s="334"/>
      <c r="ID21" s="334"/>
      <c r="IE21" s="334"/>
      <c r="IF21" s="334"/>
      <c r="IG21" s="334"/>
      <c r="IH21" s="334"/>
      <c r="II21" s="334"/>
      <c r="IJ21" s="334"/>
      <c r="IK21" s="334"/>
      <c r="IL21" s="334"/>
      <c r="IM21" s="334"/>
      <c r="IN21" s="334"/>
      <c r="IO21" s="334"/>
      <c r="IP21" s="334"/>
      <c r="IQ21" s="334"/>
      <c r="IR21" s="334"/>
      <c r="IS21" s="334"/>
      <c r="IT21" s="334"/>
      <c r="IU21" s="334"/>
      <c r="IV21" s="334"/>
      <c r="IW21" s="334"/>
      <c r="IX21" s="334"/>
      <c r="IY21" s="334"/>
      <c r="IZ21" s="334"/>
      <c r="JA21" s="334"/>
      <c r="JB21" s="334"/>
      <c r="JC21" s="334"/>
      <c r="JD21" s="334"/>
      <c r="JE21" s="334"/>
      <c r="JF21" s="334"/>
      <c r="JG21" s="334"/>
      <c r="JH21" s="334"/>
      <c r="JI21" s="334"/>
      <c r="JJ21" s="334"/>
      <c r="JK21" s="334"/>
      <c r="JL21" s="334"/>
      <c r="JM21" s="334"/>
      <c r="JN21" s="334"/>
      <c r="JO21" s="334"/>
      <c r="JP21" s="334"/>
      <c r="JQ21" s="334"/>
      <c r="JR21" s="334"/>
      <c r="JS21" s="334"/>
      <c r="JT21" s="334"/>
      <c r="JU21" s="334"/>
      <c r="JV21" s="334"/>
      <c r="JW21" s="334"/>
      <c r="JX21" s="334"/>
      <c r="JY21" s="334"/>
      <c r="JZ21" s="334"/>
      <c r="KA21" s="334"/>
      <c r="KB21" s="334"/>
      <c r="KC21" s="334"/>
      <c r="KD21" s="334"/>
      <c r="KE21" s="334"/>
      <c r="KF21" s="334"/>
      <c r="KG21" s="334"/>
      <c r="KH21" s="334"/>
      <c r="KI21" s="334"/>
      <c r="KJ21" s="334"/>
      <c r="KK21" s="334"/>
      <c r="KL21" s="334"/>
      <c r="KM21" s="334"/>
      <c r="KN21" s="334"/>
      <c r="KO21" s="334"/>
      <c r="KP21" s="334"/>
      <c r="KQ21" s="334"/>
      <c r="KR21" s="334"/>
      <c r="KS21" s="334"/>
      <c r="KT21" s="334"/>
      <c r="KU21" s="334"/>
      <c r="KV21" s="334"/>
      <c r="KW21" s="334"/>
      <c r="KX21" s="334"/>
      <c r="KY21" s="334"/>
      <c r="KZ21" s="334"/>
      <c r="LA21" s="334"/>
      <c r="LB21" s="334"/>
      <c r="LC21" s="334"/>
      <c r="LD21" s="334"/>
      <c r="LE21" s="334"/>
      <c r="LF21" s="334"/>
      <c r="LG21" s="334"/>
      <c r="LH21" s="334"/>
      <c r="LI21" s="334"/>
      <c r="LJ21" s="334"/>
      <c r="LK21" s="334"/>
      <c r="LL21" s="334"/>
      <c r="LM21" s="334"/>
      <c r="LN21" s="334"/>
      <c r="LO21" s="334"/>
      <c r="LP21" s="334"/>
      <c r="LQ21" s="334"/>
      <c r="LR21" s="334"/>
      <c r="LS21" s="334"/>
      <c r="LT21" s="334"/>
      <c r="LU21" s="334"/>
      <c r="LV21" s="334"/>
      <c r="LW21" s="334"/>
      <c r="LX21" s="334"/>
      <c r="LY21" s="334"/>
      <c r="LZ21" s="334"/>
      <c r="MA21" s="334"/>
      <c r="MB21" s="334"/>
      <c r="MC21" s="334"/>
      <c r="MD21" s="334"/>
      <c r="ME21" s="334"/>
      <c r="MF21" s="334"/>
      <c r="MG21" s="334"/>
      <c r="MH21" s="334"/>
      <c r="MI21" s="334"/>
      <c r="MJ21" s="334"/>
      <c r="MK21" s="334"/>
      <c r="ML21" s="334"/>
      <c r="MM21" s="334"/>
      <c r="MN21" s="334"/>
      <c r="MO21" s="334"/>
      <c r="MP21" s="334"/>
      <c r="MQ21" s="334"/>
      <c r="MR21" s="334"/>
      <c r="MS21" s="334"/>
      <c r="MT21" s="334"/>
      <c r="MU21" s="334"/>
      <c r="MV21" s="334"/>
      <c r="MW21" s="334"/>
      <c r="MX21" s="334"/>
      <c r="MY21" s="334"/>
      <c r="MZ21" s="334"/>
      <c r="NA21" s="334"/>
      <c r="NB21" s="334"/>
      <c r="NC21" s="334"/>
      <c r="ND21" s="334"/>
      <c r="NE21" s="334"/>
      <c r="NF21" s="334"/>
      <c r="NG21" s="334"/>
      <c r="NH21" s="334"/>
      <c r="NI21" s="334"/>
      <c r="NJ21" s="334"/>
      <c r="NK21" s="334"/>
      <c r="NL21" s="334"/>
      <c r="NM21" s="334"/>
      <c r="NN21" s="334"/>
      <c r="NO21" s="334"/>
      <c r="NP21" s="334"/>
      <c r="NQ21" s="334"/>
      <c r="NR21" s="334"/>
      <c r="NS21" s="334"/>
      <c r="NT21" s="334"/>
      <c r="NU21" s="334"/>
      <c r="NV21" s="334"/>
      <c r="NW21" s="334"/>
      <c r="NX21" s="334"/>
      <c r="NY21" s="334"/>
      <c r="NZ21" s="334"/>
      <c r="OA21" s="334"/>
      <c r="OB21" s="334"/>
      <c r="OC21" s="334"/>
      <c r="OD21" s="334"/>
      <c r="OE21" s="334"/>
      <c r="OF21" s="334"/>
      <c r="OG21" s="334"/>
      <c r="OH21" s="334"/>
      <c r="OI21" s="334"/>
      <c r="OJ21" s="334"/>
      <c r="OK21" s="334"/>
      <c r="OL21" s="334"/>
      <c r="OM21" s="334"/>
      <c r="ON21" s="334"/>
      <c r="OO21" s="334"/>
      <c r="OP21" s="334"/>
      <c r="OQ21" s="334"/>
      <c r="OR21" s="334"/>
      <c r="OS21" s="334"/>
      <c r="OT21" s="334"/>
      <c r="OU21" s="334"/>
      <c r="OV21" s="334"/>
      <c r="OW21" s="334"/>
      <c r="OX21" s="334"/>
      <c r="OY21" s="334"/>
      <c r="OZ21" s="334"/>
      <c r="PA21" s="334"/>
      <c r="PB21" s="334"/>
      <c r="PC21" s="334"/>
      <c r="PD21" s="334"/>
      <c r="PE21" s="334"/>
      <c r="PF21" s="334"/>
      <c r="PG21" s="334"/>
      <c r="PH21" s="334"/>
      <c r="PI21" s="334"/>
      <c r="PJ21" s="334"/>
      <c r="PK21" s="334"/>
      <c r="PL21" s="334"/>
      <c r="PM21" s="334"/>
      <c r="PN21" s="334"/>
      <c r="PO21" s="334"/>
      <c r="PP21" s="334"/>
      <c r="PQ21" s="334"/>
      <c r="PR21" s="334"/>
      <c r="PS21" s="334"/>
      <c r="PT21" s="334"/>
      <c r="PU21" s="334"/>
      <c r="PV21" s="334"/>
      <c r="PW21" s="334"/>
      <c r="PX21" s="334"/>
      <c r="PY21" s="334"/>
      <c r="PZ21" s="334"/>
      <c r="QA21" s="334"/>
      <c r="QB21" s="334"/>
      <c r="QC21" s="334"/>
      <c r="QD21" s="334"/>
      <c r="QE21" s="334"/>
      <c r="QF21" s="334"/>
      <c r="QG21" s="334"/>
      <c r="QH21" s="334"/>
      <c r="QI21" s="334"/>
      <c r="QJ21" s="334"/>
      <c r="QK21" s="334"/>
      <c r="QL21" s="334"/>
      <c r="QM21" s="334"/>
      <c r="QN21" s="334"/>
      <c r="QO21" s="334"/>
      <c r="QP21" s="334"/>
      <c r="QQ21" s="334"/>
      <c r="QR21" s="334"/>
      <c r="QS21" s="334"/>
      <c r="QT21" s="334"/>
      <c r="QU21" s="334"/>
      <c r="QV21" s="334"/>
      <c r="QW21" s="334"/>
      <c r="QX21" s="334"/>
      <c r="QY21" s="334"/>
      <c r="QZ21" s="334"/>
      <c r="RA21" s="334"/>
      <c r="RB21" s="334"/>
      <c r="RC21" s="334"/>
      <c r="RD21" s="334"/>
      <c r="RE21" s="334"/>
      <c r="RF21" s="334"/>
      <c r="RG21" s="334"/>
      <c r="RH21" s="334"/>
      <c r="RI21" s="334"/>
      <c r="RJ21" s="334"/>
      <c r="RK21" s="334"/>
      <c r="RL21" s="334"/>
      <c r="RM21" s="334"/>
      <c r="RN21" s="334"/>
      <c r="RO21" s="334"/>
      <c r="RP21" s="334"/>
      <c r="RQ21" s="334"/>
      <c r="RR21" s="334"/>
      <c r="RS21" s="334"/>
      <c r="RT21" s="334"/>
      <c r="RU21" s="334"/>
      <c r="RV21" s="334"/>
      <c r="RW21" s="334"/>
      <c r="RX21" s="334"/>
      <c r="RY21" s="334"/>
      <c r="RZ21" s="334"/>
      <c r="SA21" s="334"/>
      <c r="SB21" s="334"/>
      <c r="SC21" s="334"/>
      <c r="SD21" s="334"/>
      <c r="SE21" s="334"/>
      <c r="SF21" s="334"/>
      <c r="SG21" s="334"/>
      <c r="SH21" s="334"/>
      <c r="SI21" s="334"/>
      <c r="SJ21" s="334"/>
      <c r="SK21" s="334"/>
      <c r="SL21" s="334"/>
      <c r="SM21" s="334"/>
      <c r="SN21" s="334"/>
      <c r="SO21" s="334"/>
      <c r="SP21" s="334"/>
      <c r="SQ21" s="334"/>
      <c r="SR21" s="334"/>
      <c r="SS21" s="334"/>
      <c r="ST21" s="334"/>
      <c r="SU21" s="334"/>
      <c r="SV21" s="334"/>
      <c r="SW21" s="334"/>
      <c r="SX21" s="334"/>
      <c r="SY21" s="334"/>
      <c r="SZ21" s="334"/>
      <c r="TA21" s="334"/>
      <c r="TB21" s="334"/>
      <c r="TC21" s="334"/>
      <c r="TD21" s="334"/>
      <c r="TE21" s="334"/>
      <c r="TF21" s="334"/>
      <c r="TG21" s="334"/>
      <c r="TH21" s="334"/>
      <c r="TI21" s="334"/>
      <c r="TJ21" s="334"/>
      <c r="TK21" s="334"/>
      <c r="TL21" s="334"/>
      <c r="TM21" s="334"/>
      <c r="TN21" s="334"/>
      <c r="TO21" s="334"/>
      <c r="TP21" s="334"/>
      <c r="TQ21" s="334"/>
      <c r="TR21" s="334"/>
      <c r="TS21" s="334"/>
      <c r="TT21" s="334"/>
      <c r="TU21" s="334"/>
      <c r="TV21" s="334"/>
      <c r="TW21" s="334"/>
      <c r="TX21" s="334"/>
      <c r="TY21" s="334"/>
      <c r="TZ21" s="334"/>
      <c r="UA21" s="334"/>
      <c r="UB21" s="334"/>
      <c r="UC21" s="334"/>
      <c r="UD21" s="334"/>
      <c r="UE21" s="334"/>
      <c r="UF21" s="334"/>
      <c r="UG21" s="334"/>
      <c r="UH21" s="334"/>
      <c r="UI21" s="334"/>
      <c r="UJ21" s="334"/>
      <c r="UK21" s="334"/>
      <c r="UL21" s="334"/>
      <c r="UM21" s="334"/>
      <c r="UN21" s="334"/>
      <c r="UO21" s="334"/>
      <c r="UP21" s="334"/>
      <c r="UQ21" s="334"/>
      <c r="UR21" s="334"/>
      <c r="US21" s="334"/>
      <c r="UT21" s="334"/>
      <c r="UU21" s="334"/>
      <c r="UV21" s="334"/>
      <c r="UW21" s="334"/>
      <c r="UX21" s="334"/>
      <c r="UY21" s="334"/>
      <c r="UZ21" s="334"/>
      <c r="VA21" s="334"/>
      <c r="VB21" s="334"/>
      <c r="VC21" s="334"/>
      <c r="VD21" s="334"/>
      <c r="VE21" s="334"/>
      <c r="VF21" s="334"/>
      <c r="VG21" s="334"/>
      <c r="VH21" s="334"/>
      <c r="VI21" s="334"/>
      <c r="VJ21" s="334"/>
      <c r="VK21" s="334"/>
      <c r="VL21" s="334"/>
      <c r="VM21" s="334"/>
      <c r="VN21" s="334"/>
      <c r="VO21" s="334"/>
      <c r="VP21" s="334"/>
      <c r="VQ21" s="334"/>
      <c r="VR21" s="334"/>
      <c r="VS21" s="334"/>
      <c r="VT21" s="334"/>
      <c r="VU21" s="334"/>
      <c r="VV21" s="334"/>
      <c r="VW21" s="334"/>
      <c r="VX21" s="334"/>
      <c r="VY21" s="334"/>
      <c r="VZ21" s="334"/>
      <c r="WA21" s="334"/>
      <c r="WB21" s="334"/>
      <c r="WC21" s="334"/>
      <c r="WD21" s="334"/>
      <c r="WE21" s="334"/>
      <c r="WF21" s="334"/>
      <c r="WG21" s="334"/>
      <c r="WH21" s="334"/>
      <c r="WI21" s="334"/>
      <c r="WJ21" s="334"/>
      <c r="WK21" s="334"/>
      <c r="WL21" s="334"/>
      <c r="WM21" s="334"/>
      <c r="WN21" s="334"/>
      <c r="WO21" s="334"/>
      <c r="WP21" s="334"/>
      <c r="WQ21" s="334"/>
      <c r="WR21" s="334"/>
      <c r="WS21" s="334"/>
      <c r="WT21" s="334"/>
      <c r="WU21" s="334"/>
      <c r="WV21" s="334"/>
      <c r="WW21" s="334"/>
      <c r="WX21" s="334"/>
      <c r="WY21" s="334"/>
      <c r="WZ21" s="334"/>
      <c r="XA21" s="334"/>
      <c r="XB21" s="334"/>
      <c r="XC21" s="334"/>
      <c r="XD21" s="334"/>
      <c r="XE21" s="334"/>
      <c r="XF21" s="334"/>
      <c r="XG21" s="334"/>
      <c r="XH21" s="334"/>
      <c r="XI21" s="334"/>
      <c r="XJ21" s="334"/>
      <c r="XK21" s="334"/>
      <c r="XL21" s="334"/>
      <c r="XM21" s="334"/>
      <c r="XN21" s="334"/>
      <c r="XO21" s="334"/>
      <c r="XP21" s="334"/>
      <c r="XQ21" s="334"/>
      <c r="XR21" s="334"/>
      <c r="XS21" s="334"/>
      <c r="XT21" s="334"/>
      <c r="XU21" s="334"/>
      <c r="XV21" s="334"/>
      <c r="XW21" s="334"/>
      <c r="XX21" s="334"/>
      <c r="XY21" s="334"/>
      <c r="XZ21" s="334"/>
      <c r="YA21" s="334"/>
      <c r="YB21" s="334"/>
      <c r="YC21" s="334"/>
      <c r="YD21" s="334"/>
      <c r="YE21" s="334"/>
      <c r="YF21" s="334"/>
      <c r="YG21" s="334"/>
      <c r="YH21" s="334"/>
      <c r="YI21" s="334"/>
      <c r="YJ21" s="334"/>
      <c r="YK21" s="334"/>
      <c r="YL21" s="334"/>
      <c r="YM21" s="334"/>
      <c r="YN21" s="334"/>
      <c r="YO21" s="334"/>
      <c r="YP21" s="334"/>
      <c r="YQ21" s="334"/>
      <c r="YR21" s="334"/>
      <c r="YS21" s="334"/>
      <c r="YT21" s="334"/>
      <c r="YU21" s="334"/>
      <c r="YV21" s="334"/>
      <c r="YW21" s="334"/>
      <c r="YX21" s="334"/>
      <c r="YY21" s="334"/>
      <c r="YZ21" s="334"/>
      <c r="ZA21" s="334"/>
      <c r="ZB21" s="334"/>
      <c r="ZC21" s="334"/>
      <c r="ZD21" s="334"/>
      <c r="ZE21" s="334"/>
      <c r="ZF21" s="334"/>
      <c r="ZG21" s="334"/>
      <c r="ZH21" s="334"/>
      <c r="ZI21" s="334"/>
      <c r="ZJ21" s="334"/>
      <c r="ZK21" s="334"/>
      <c r="ZL21" s="334"/>
      <c r="ZM21" s="334"/>
      <c r="ZN21" s="334"/>
      <c r="ZO21" s="334"/>
      <c r="ZP21" s="334"/>
      <c r="ZQ21" s="334"/>
      <c r="ZR21" s="334"/>
      <c r="ZS21" s="334"/>
      <c r="ZT21" s="334"/>
      <c r="ZU21" s="334"/>
      <c r="ZV21" s="334"/>
      <c r="ZW21" s="334"/>
      <c r="ZX21" s="334"/>
      <c r="ZY21" s="334"/>
      <c r="ZZ21" s="334"/>
      <c r="AAA21" s="334"/>
      <c r="AAB21" s="334"/>
      <c r="AAC21" s="334"/>
      <c r="AAD21" s="334"/>
      <c r="AAE21" s="334"/>
      <c r="AAF21" s="334"/>
      <c r="AAG21" s="334"/>
      <c r="AAH21" s="334"/>
      <c r="AAI21" s="334"/>
      <c r="AAJ21" s="334"/>
      <c r="AAK21" s="334"/>
      <c r="AAL21" s="334"/>
      <c r="AAM21" s="334"/>
      <c r="AAN21" s="334"/>
      <c r="AAO21" s="334"/>
      <c r="AAP21" s="334"/>
      <c r="AAQ21" s="334"/>
      <c r="AAR21" s="334"/>
      <c r="AAS21" s="334"/>
      <c r="AAT21" s="334"/>
      <c r="AAU21" s="334"/>
      <c r="AAV21" s="334"/>
      <c r="AAW21" s="334"/>
      <c r="AAX21" s="334"/>
      <c r="AAY21" s="334"/>
      <c r="AAZ21" s="334"/>
      <c r="ABA21" s="334"/>
      <c r="ABB21" s="334"/>
      <c r="ABC21" s="334"/>
      <c r="ABD21" s="334"/>
      <c r="ABE21" s="334"/>
      <c r="ABF21" s="334"/>
      <c r="ABG21" s="334"/>
      <c r="ABH21" s="334"/>
      <c r="ABI21" s="334"/>
      <c r="ABJ21" s="334"/>
      <c r="ABK21" s="334"/>
      <c r="ABL21" s="334"/>
      <c r="ABM21" s="334"/>
      <c r="ABN21" s="334"/>
      <c r="ABO21" s="334"/>
      <c r="ABP21" s="334"/>
      <c r="ABQ21" s="334"/>
      <c r="ABR21" s="334"/>
      <c r="ABS21" s="334"/>
      <c r="ABT21" s="334"/>
      <c r="ABU21" s="334"/>
      <c r="ABV21" s="334"/>
      <c r="ABW21" s="334"/>
      <c r="ABX21" s="334"/>
      <c r="ABY21" s="334"/>
      <c r="ABZ21" s="334"/>
      <c r="ACA21" s="334"/>
      <c r="ACB21" s="334"/>
      <c r="ACC21" s="334"/>
      <c r="ACD21" s="334"/>
      <c r="ACE21" s="334"/>
      <c r="ACF21" s="334"/>
      <c r="ACG21" s="334"/>
      <c r="ACH21" s="334"/>
      <c r="ACI21" s="334"/>
      <c r="ACJ21" s="334"/>
      <c r="ACK21" s="334"/>
      <c r="ACL21" s="334"/>
      <c r="ACM21" s="334"/>
      <c r="ACN21" s="334"/>
      <c r="ACO21" s="334"/>
      <c r="ACP21" s="334"/>
      <c r="ACQ21" s="334"/>
      <c r="ACR21" s="334"/>
      <c r="ACS21" s="334"/>
      <c r="ACT21" s="334"/>
      <c r="ACU21" s="334"/>
      <c r="ACV21" s="334"/>
      <c r="ACW21" s="334"/>
      <c r="ACX21" s="334"/>
      <c r="ACY21" s="334"/>
      <c r="ACZ21" s="334"/>
      <c r="ADA21" s="334"/>
      <c r="ADB21" s="334"/>
      <c r="ADC21" s="334"/>
      <c r="ADD21" s="334"/>
      <c r="ADE21" s="334"/>
      <c r="ADF21" s="334"/>
      <c r="ADG21" s="334"/>
      <c r="ADH21" s="334"/>
      <c r="ADI21" s="334"/>
      <c r="ADJ21" s="334"/>
      <c r="ADK21" s="334"/>
      <c r="ADL21" s="334"/>
      <c r="ADM21" s="334"/>
      <c r="ADN21" s="334"/>
      <c r="ADO21" s="334"/>
      <c r="ADP21" s="334"/>
      <c r="ADQ21" s="334"/>
      <c r="ADR21" s="334"/>
      <c r="ADS21" s="334"/>
      <c r="ADT21" s="334"/>
      <c r="ADU21" s="334"/>
      <c r="ADV21" s="334"/>
      <c r="ADW21" s="334"/>
      <c r="ADX21" s="334"/>
      <c r="ADY21" s="334"/>
      <c r="ADZ21" s="334"/>
      <c r="AEA21" s="334"/>
      <c r="AEB21" s="334"/>
      <c r="AEC21" s="334"/>
      <c r="AED21" s="334"/>
      <c r="AEE21" s="334"/>
      <c r="AEF21" s="334"/>
      <c r="AEG21" s="334"/>
      <c r="AEH21" s="334"/>
      <c r="AEI21" s="334"/>
      <c r="AEJ21" s="334"/>
      <c r="AEK21" s="334"/>
      <c r="AEL21" s="334"/>
      <c r="AEM21" s="334"/>
      <c r="AEN21" s="334"/>
      <c r="AEO21" s="334"/>
      <c r="AEP21" s="334"/>
      <c r="AEQ21" s="334"/>
      <c r="AER21" s="334"/>
      <c r="AES21" s="334"/>
      <c r="AET21" s="334"/>
      <c r="AEU21" s="334"/>
      <c r="AEV21" s="334"/>
      <c r="AEW21" s="334"/>
      <c r="AEX21" s="334"/>
      <c r="AEY21" s="334"/>
      <c r="AEZ21" s="334"/>
      <c r="AFA21" s="334"/>
      <c r="AFB21" s="334"/>
      <c r="AFC21" s="334"/>
      <c r="AFD21" s="334"/>
      <c r="AFE21" s="334"/>
      <c r="AFF21" s="334"/>
      <c r="AFG21" s="334"/>
      <c r="AFH21" s="334"/>
      <c r="AFI21" s="334"/>
      <c r="AFJ21" s="334"/>
      <c r="AFK21" s="334"/>
      <c r="AFL21" s="334"/>
      <c r="AFM21" s="334"/>
      <c r="AFN21" s="334"/>
      <c r="AFO21" s="334"/>
      <c r="AFP21" s="334"/>
      <c r="AFQ21" s="334"/>
      <c r="AFR21" s="334"/>
      <c r="AFS21" s="334"/>
      <c r="AFT21" s="334"/>
      <c r="AFU21" s="334"/>
      <c r="AFV21" s="334"/>
      <c r="AFW21" s="334"/>
      <c r="AFX21" s="334"/>
      <c r="AFY21" s="334"/>
      <c r="AFZ21" s="334"/>
      <c r="AGA21" s="334"/>
      <c r="AGB21" s="334"/>
      <c r="AGC21" s="334"/>
      <c r="AGD21" s="334"/>
      <c r="AGE21" s="334"/>
      <c r="AGF21" s="334"/>
      <c r="AGG21" s="334"/>
      <c r="AGH21" s="334"/>
      <c r="AGI21" s="334"/>
      <c r="AGJ21" s="334"/>
      <c r="AGK21" s="334"/>
      <c r="AGL21" s="334"/>
      <c r="AGM21" s="334"/>
      <c r="AGN21" s="334"/>
      <c r="AGO21" s="334"/>
      <c r="AGP21" s="334"/>
      <c r="AGQ21" s="334"/>
      <c r="AGR21" s="334"/>
      <c r="AGS21" s="334"/>
      <c r="AGT21" s="334"/>
      <c r="AGU21" s="334"/>
      <c r="AGV21" s="334"/>
      <c r="AGW21" s="334"/>
      <c r="AGX21" s="334"/>
      <c r="AGY21" s="334"/>
      <c r="AGZ21" s="334"/>
      <c r="AHA21" s="334"/>
      <c r="AHB21" s="334"/>
      <c r="AHC21" s="334"/>
      <c r="AHD21" s="334"/>
      <c r="AHE21" s="334"/>
      <c r="AHF21" s="334"/>
      <c r="AHG21" s="334"/>
      <c r="AHH21" s="334"/>
      <c r="AHI21" s="334"/>
      <c r="AHJ21" s="334"/>
      <c r="AHK21" s="334"/>
      <c r="AHL21" s="334"/>
      <c r="AHM21" s="334"/>
      <c r="AHN21" s="334"/>
      <c r="AHO21" s="334"/>
      <c r="AHP21" s="334"/>
      <c r="AHQ21" s="334"/>
      <c r="AHR21" s="334"/>
      <c r="AHS21" s="334"/>
      <c r="AHT21" s="334"/>
      <c r="AHU21" s="334"/>
      <c r="AHV21" s="334"/>
      <c r="AHW21" s="334"/>
      <c r="AHX21" s="334"/>
      <c r="AHY21" s="334"/>
      <c r="AHZ21" s="334"/>
      <c r="AIA21" s="334"/>
      <c r="AIB21" s="334"/>
      <c r="AIC21" s="334"/>
      <c r="AID21" s="334"/>
      <c r="AIE21" s="334"/>
      <c r="AIF21" s="334"/>
      <c r="AIG21" s="334"/>
      <c r="AIH21" s="334"/>
      <c r="AII21" s="334"/>
      <c r="AIJ21" s="334"/>
      <c r="AIK21" s="334"/>
      <c r="AIL21" s="334"/>
      <c r="AIM21" s="334"/>
      <c r="AIN21" s="334"/>
      <c r="AIO21" s="334"/>
      <c r="AIP21" s="334"/>
      <c r="AIQ21" s="334"/>
      <c r="AIR21" s="334"/>
      <c r="AIS21" s="334"/>
      <c r="AIT21" s="334"/>
      <c r="AIU21" s="334"/>
      <c r="AIV21" s="334"/>
      <c r="AIW21" s="334"/>
      <c r="AIX21" s="334"/>
      <c r="AIY21" s="334"/>
      <c r="AIZ21" s="334"/>
      <c r="AJA21" s="334"/>
      <c r="AJB21" s="334"/>
      <c r="AJC21" s="334"/>
      <c r="AJD21" s="334"/>
      <c r="AJE21" s="334"/>
      <c r="AJF21" s="334"/>
      <c r="AJG21" s="334"/>
      <c r="AJH21" s="334"/>
      <c r="AJI21" s="334"/>
      <c r="AJJ21" s="334"/>
      <c r="AJK21" s="334"/>
      <c r="AJL21" s="334"/>
      <c r="AJM21" s="334"/>
      <c r="AJN21" s="334"/>
      <c r="AJO21" s="334"/>
      <c r="AJP21" s="334"/>
      <c r="AJQ21" s="334"/>
      <c r="AJR21" s="334"/>
      <c r="AJS21" s="334"/>
      <c r="AJT21" s="334"/>
      <c r="AJU21" s="334"/>
      <c r="AJV21" s="334"/>
      <c r="AJW21" s="334"/>
      <c r="AJX21" s="334"/>
      <c r="AJY21" s="334"/>
      <c r="AJZ21" s="334"/>
      <c r="AKA21" s="334"/>
      <c r="AKB21" s="334"/>
      <c r="AKC21" s="334"/>
      <c r="AKD21" s="334"/>
      <c r="AKE21" s="334"/>
      <c r="AKF21" s="334"/>
      <c r="AKG21" s="334"/>
      <c r="AKH21" s="334"/>
      <c r="AKI21" s="334"/>
      <c r="AKJ21" s="334"/>
      <c r="AKK21" s="334"/>
      <c r="AKL21" s="334"/>
      <c r="AKM21" s="334"/>
      <c r="AKN21" s="334"/>
      <c r="AKO21" s="334"/>
      <c r="AKP21" s="334"/>
      <c r="AKQ21" s="334"/>
      <c r="AKR21" s="334"/>
      <c r="AKS21" s="334"/>
      <c r="AKT21" s="334"/>
      <c r="AKU21" s="334"/>
      <c r="AKV21" s="334"/>
      <c r="AKW21" s="334"/>
      <c r="AKX21" s="334"/>
      <c r="AKY21" s="334"/>
      <c r="AKZ21" s="334"/>
      <c r="ALA21" s="334"/>
      <c r="ALB21" s="334"/>
      <c r="ALC21" s="334"/>
      <c r="ALD21" s="334"/>
      <c r="ALE21" s="334"/>
      <c r="ALF21" s="334"/>
      <c r="ALG21" s="334"/>
      <c r="ALH21" s="334"/>
      <c r="ALI21" s="334"/>
      <c r="ALJ21" s="334"/>
      <c r="ALK21" s="334"/>
      <c r="ALL21" s="334"/>
      <c r="ALM21" s="334"/>
      <c r="ALN21" s="334"/>
      <c r="ALO21" s="334"/>
      <c r="ALP21" s="334"/>
      <c r="ALQ21" s="334"/>
      <c r="ALR21" s="334"/>
      <c r="ALS21" s="334"/>
      <c r="ALT21" s="334"/>
      <c r="ALU21" s="334"/>
      <c r="ALV21" s="334"/>
      <c r="ALW21" s="334"/>
      <c r="ALX21" s="334"/>
      <c r="ALY21" s="334"/>
      <c r="ALZ21" s="334"/>
      <c r="AMA21" s="334"/>
      <c r="AMB21" s="334"/>
      <c r="AMC21" s="334"/>
      <c r="AMD21" s="334"/>
      <c r="AME21" s="334"/>
      <c r="AMF21" s="334"/>
      <c r="AMG21" s="334"/>
      <c r="AMH21" s="334"/>
      <c r="AMI21" s="334"/>
      <c r="AMJ21" s="334"/>
      <c r="AMK21" s="334"/>
      <c r="AML21" s="334"/>
      <c r="AMM21" s="334"/>
      <c r="AMN21" s="334"/>
      <c r="AMO21" s="334"/>
      <c r="AMP21" s="334"/>
      <c r="AMQ21" s="334"/>
      <c r="AMR21" s="334"/>
      <c r="AMS21" s="334"/>
      <c r="AMT21" s="334"/>
      <c r="AMU21" s="334"/>
      <c r="AMV21" s="334"/>
      <c r="AMW21" s="334"/>
      <c r="AMX21" s="334"/>
      <c r="AMY21" s="334"/>
      <c r="AMZ21" s="334"/>
    </row>
    <row r="22" spans="1:1040" s="333" customFormat="1" ht="13.2" x14ac:dyDescent="0.25">
      <c r="A22" s="335"/>
      <c r="B22" s="335"/>
      <c r="C22" s="335"/>
      <c r="D22" s="335"/>
      <c r="E22" s="335"/>
      <c r="F22" s="335"/>
      <c r="G22" s="335"/>
      <c r="H22" s="335"/>
      <c r="I22" s="335"/>
      <c r="J22" s="335"/>
      <c r="M22" s="334"/>
      <c r="N22" s="334"/>
      <c r="O22" s="334"/>
      <c r="P22" s="334"/>
      <c r="Q22" s="334"/>
      <c r="R22" s="334"/>
      <c r="S22" s="334"/>
      <c r="T22" s="334"/>
      <c r="U22" s="334"/>
      <c r="V22" s="334"/>
      <c r="W22" s="334"/>
      <c r="X22" s="334"/>
      <c r="Y22" s="334"/>
      <c r="Z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34"/>
      <c r="CA22" s="334"/>
      <c r="CB22" s="334"/>
      <c r="CC22" s="334"/>
      <c r="CD22" s="334"/>
      <c r="CE22" s="334"/>
      <c r="CF22" s="334"/>
      <c r="CG22" s="334"/>
      <c r="CH22" s="334"/>
      <c r="CI22" s="334"/>
      <c r="CJ22" s="334"/>
      <c r="CK22" s="334"/>
      <c r="CL22" s="334"/>
      <c r="CM22" s="334"/>
      <c r="CN22" s="334"/>
      <c r="CO22" s="334"/>
      <c r="CP22" s="334"/>
      <c r="CQ22" s="334"/>
      <c r="CR22" s="334"/>
      <c r="CS22" s="334"/>
      <c r="CT22" s="334"/>
      <c r="CU22" s="334"/>
      <c r="CV22" s="334"/>
      <c r="CW22" s="334"/>
      <c r="CX22" s="334"/>
      <c r="CY22" s="334"/>
      <c r="CZ22" s="334"/>
      <c r="DA22" s="334"/>
      <c r="DB22" s="334"/>
      <c r="DC22" s="334"/>
      <c r="DD22" s="334"/>
      <c r="DE22" s="334"/>
      <c r="DF22" s="334"/>
      <c r="DG22" s="334"/>
      <c r="DH22" s="334"/>
      <c r="DI22" s="334"/>
      <c r="DJ22" s="334"/>
      <c r="DK22" s="334"/>
      <c r="DL22" s="334"/>
      <c r="DM22" s="334"/>
      <c r="DN22" s="334"/>
      <c r="DO22" s="334"/>
      <c r="DP22" s="334"/>
      <c r="DQ22" s="334"/>
      <c r="DR22" s="334"/>
      <c r="DS22" s="334"/>
      <c r="DT22" s="334"/>
      <c r="DU22" s="334"/>
      <c r="DV22" s="334"/>
      <c r="DW22" s="334"/>
      <c r="DX22" s="334"/>
      <c r="DY22" s="334"/>
      <c r="DZ22" s="334"/>
      <c r="EA22" s="334"/>
      <c r="EB22" s="334"/>
      <c r="EC22" s="334"/>
      <c r="ED22" s="334"/>
      <c r="EE22" s="334"/>
      <c r="EF22" s="334"/>
      <c r="EG22" s="334"/>
      <c r="EH22" s="334"/>
      <c r="EI22" s="334"/>
      <c r="EJ22" s="334"/>
      <c r="EK22" s="334"/>
      <c r="EL22" s="334"/>
      <c r="EM22" s="334"/>
      <c r="EN22" s="334"/>
      <c r="EO22" s="334"/>
      <c r="EP22" s="334"/>
      <c r="EQ22" s="334"/>
      <c r="ER22" s="334"/>
      <c r="ES22" s="334"/>
      <c r="ET22" s="334"/>
      <c r="EU22" s="334"/>
      <c r="EV22" s="334"/>
      <c r="EW22" s="334"/>
      <c r="EX22" s="334"/>
      <c r="EY22" s="334"/>
      <c r="EZ22" s="334"/>
      <c r="FA22" s="334"/>
      <c r="FB22" s="334"/>
      <c r="FC22" s="334"/>
      <c r="FD22" s="334"/>
      <c r="FE22" s="334"/>
      <c r="FF22" s="334"/>
      <c r="FG22" s="334"/>
      <c r="FH22" s="334"/>
      <c r="FI22" s="334"/>
      <c r="FJ22" s="334"/>
      <c r="FK22" s="334"/>
      <c r="FL22" s="334"/>
      <c r="FM22" s="334"/>
      <c r="FN22" s="334"/>
      <c r="FO22" s="334"/>
      <c r="FP22" s="334"/>
      <c r="FQ22" s="334"/>
      <c r="FR22" s="334"/>
      <c r="FS22" s="334"/>
      <c r="FT22" s="334"/>
      <c r="FU22" s="334"/>
      <c r="FV22" s="334"/>
      <c r="FW22" s="334"/>
      <c r="FX22" s="334"/>
      <c r="FY22" s="334"/>
      <c r="FZ22" s="334"/>
      <c r="GA22" s="334"/>
      <c r="GB22" s="334"/>
      <c r="GC22" s="334"/>
      <c r="GD22" s="334"/>
      <c r="GE22" s="334"/>
      <c r="GF22" s="334"/>
      <c r="GG22" s="334"/>
      <c r="GH22" s="334"/>
      <c r="GI22" s="334"/>
      <c r="GJ22" s="334"/>
      <c r="GK22" s="334"/>
      <c r="GL22" s="334"/>
      <c r="GM22" s="334"/>
      <c r="GN22" s="334"/>
      <c r="GO22" s="334"/>
      <c r="GP22" s="334"/>
      <c r="GQ22" s="334"/>
      <c r="GR22" s="334"/>
      <c r="GS22" s="334"/>
      <c r="GT22" s="334"/>
      <c r="GU22" s="334"/>
      <c r="GV22" s="334"/>
      <c r="GW22" s="334"/>
      <c r="GX22" s="334"/>
      <c r="GY22" s="334"/>
      <c r="GZ22" s="334"/>
      <c r="HA22" s="334"/>
      <c r="HB22" s="334"/>
      <c r="HC22" s="334"/>
      <c r="HD22" s="334"/>
      <c r="HE22" s="334"/>
      <c r="HF22" s="334"/>
      <c r="HG22" s="334"/>
      <c r="HH22" s="334"/>
      <c r="HI22" s="334"/>
      <c r="HJ22" s="334"/>
      <c r="HK22" s="334"/>
      <c r="HL22" s="334"/>
      <c r="HM22" s="334"/>
      <c r="HN22" s="334"/>
      <c r="HO22" s="334"/>
      <c r="HP22" s="334"/>
      <c r="HQ22" s="334"/>
      <c r="HR22" s="334"/>
      <c r="HS22" s="334"/>
      <c r="HT22" s="334"/>
      <c r="HU22" s="334"/>
      <c r="HV22" s="334"/>
      <c r="HW22" s="334"/>
      <c r="HX22" s="334"/>
      <c r="HY22" s="334"/>
      <c r="HZ22" s="334"/>
      <c r="IA22" s="334"/>
      <c r="IB22" s="334"/>
      <c r="IC22" s="334"/>
      <c r="ID22" s="334"/>
      <c r="IE22" s="334"/>
      <c r="IF22" s="334"/>
      <c r="IG22" s="334"/>
      <c r="IH22" s="334"/>
      <c r="II22" s="334"/>
      <c r="IJ22" s="334"/>
      <c r="IK22" s="334"/>
      <c r="IL22" s="334"/>
      <c r="IM22" s="334"/>
      <c r="IN22" s="334"/>
      <c r="IO22" s="334"/>
      <c r="IP22" s="334"/>
      <c r="IQ22" s="334"/>
      <c r="IR22" s="334"/>
      <c r="IS22" s="334"/>
      <c r="IT22" s="334"/>
      <c r="IU22" s="334"/>
      <c r="IV22" s="334"/>
      <c r="IW22" s="334"/>
      <c r="IX22" s="334"/>
      <c r="IY22" s="334"/>
      <c r="IZ22" s="334"/>
      <c r="JA22" s="334"/>
      <c r="JB22" s="334"/>
      <c r="JC22" s="334"/>
      <c r="JD22" s="334"/>
      <c r="JE22" s="334"/>
      <c r="JF22" s="334"/>
      <c r="JG22" s="334"/>
      <c r="JH22" s="334"/>
      <c r="JI22" s="334"/>
      <c r="JJ22" s="334"/>
      <c r="JK22" s="334"/>
      <c r="JL22" s="334"/>
      <c r="JM22" s="334"/>
      <c r="JN22" s="334"/>
      <c r="JO22" s="334"/>
      <c r="JP22" s="334"/>
      <c r="JQ22" s="334"/>
      <c r="JR22" s="334"/>
      <c r="JS22" s="334"/>
      <c r="JT22" s="334"/>
      <c r="JU22" s="334"/>
      <c r="JV22" s="334"/>
      <c r="JW22" s="334"/>
      <c r="JX22" s="334"/>
      <c r="JY22" s="334"/>
      <c r="JZ22" s="334"/>
      <c r="KA22" s="334"/>
      <c r="KB22" s="334"/>
      <c r="KC22" s="334"/>
      <c r="KD22" s="334"/>
      <c r="KE22" s="334"/>
      <c r="KF22" s="334"/>
      <c r="KG22" s="334"/>
      <c r="KH22" s="334"/>
      <c r="KI22" s="334"/>
      <c r="KJ22" s="334"/>
      <c r="KK22" s="334"/>
      <c r="KL22" s="334"/>
      <c r="KM22" s="334"/>
      <c r="KN22" s="334"/>
      <c r="KO22" s="334"/>
      <c r="KP22" s="334"/>
      <c r="KQ22" s="334"/>
      <c r="KR22" s="334"/>
      <c r="KS22" s="334"/>
      <c r="KT22" s="334"/>
      <c r="KU22" s="334"/>
      <c r="KV22" s="334"/>
      <c r="KW22" s="334"/>
      <c r="KX22" s="334"/>
      <c r="KY22" s="334"/>
      <c r="KZ22" s="334"/>
      <c r="LA22" s="334"/>
      <c r="LB22" s="334"/>
      <c r="LC22" s="334"/>
      <c r="LD22" s="334"/>
      <c r="LE22" s="334"/>
      <c r="LF22" s="334"/>
      <c r="LG22" s="334"/>
      <c r="LH22" s="334"/>
      <c r="LI22" s="334"/>
      <c r="LJ22" s="334"/>
      <c r="LK22" s="334"/>
      <c r="LL22" s="334"/>
      <c r="LM22" s="334"/>
      <c r="LN22" s="334"/>
      <c r="LO22" s="334"/>
      <c r="LP22" s="334"/>
      <c r="LQ22" s="334"/>
      <c r="LR22" s="334"/>
      <c r="LS22" s="334"/>
      <c r="LT22" s="334"/>
      <c r="LU22" s="334"/>
      <c r="LV22" s="334"/>
      <c r="LW22" s="334"/>
      <c r="LX22" s="334"/>
      <c r="LY22" s="334"/>
      <c r="LZ22" s="334"/>
      <c r="MA22" s="334"/>
      <c r="MB22" s="334"/>
      <c r="MC22" s="334"/>
      <c r="MD22" s="334"/>
      <c r="ME22" s="334"/>
      <c r="MF22" s="334"/>
      <c r="MG22" s="334"/>
      <c r="MH22" s="334"/>
      <c r="MI22" s="334"/>
      <c r="MJ22" s="334"/>
      <c r="MK22" s="334"/>
      <c r="ML22" s="334"/>
      <c r="MM22" s="334"/>
      <c r="MN22" s="334"/>
      <c r="MO22" s="334"/>
      <c r="MP22" s="334"/>
      <c r="MQ22" s="334"/>
      <c r="MR22" s="334"/>
      <c r="MS22" s="334"/>
      <c r="MT22" s="334"/>
      <c r="MU22" s="334"/>
      <c r="MV22" s="334"/>
      <c r="MW22" s="334"/>
      <c r="MX22" s="334"/>
      <c r="MY22" s="334"/>
      <c r="MZ22" s="334"/>
      <c r="NA22" s="334"/>
      <c r="NB22" s="334"/>
      <c r="NC22" s="334"/>
      <c r="ND22" s="334"/>
      <c r="NE22" s="334"/>
      <c r="NF22" s="334"/>
      <c r="NG22" s="334"/>
      <c r="NH22" s="334"/>
      <c r="NI22" s="334"/>
      <c r="NJ22" s="334"/>
      <c r="NK22" s="334"/>
      <c r="NL22" s="334"/>
      <c r="NM22" s="334"/>
      <c r="NN22" s="334"/>
      <c r="NO22" s="334"/>
      <c r="NP22" s="334"/>
      <c r="NQ22" s="334"/>
      <c r="NR22" s="334"/>
      <c r="NS22" s="334"/>
      <c r="NT22" s="334"/>
      <c r="NU22" s="334"/>
      <c r="NV22" s="334"/>
      <c r="NW22" s="334"/>
      <c r="NX22" s="334"/>
      <c r="NY22" s="334"/>
      <c r="NZ22" s="334"/>
      <c r="OA22" s="334"/>
      <c r="OB22" s="334"/>
      <c r="OC22" s="334"/>
      <c r="OD22" s="334"/>
      <c r="OE22" s="334"/>
      <c r="OF22" s="334"/>
      <c r="OG22" s="334"/>
      <c r="OH22" s="334"/>
      <c r="OI22" s="334"/>
      <c r="OJ22" s="334"/>
      <c r="OK22" s="334"/>
      <c r="OL22" s="334"/>
      <c r="OM22" s="334"/>
      <c r="ON22" s="334"/>
      <c r="OO22" s="334"/>
      <c r="OP22" s="334"/>
      <c r="OQ22" s="334"/>
      <c r="OR22" s="334"/>
      <c r="OS22" s="334"/>
      <c r="OT22" s="334"/>
      <c r="OU22" s="334"/>
      <c r="OV22" s="334"/>
      <c r="OW22" s="334"/>
      <c r="OX22" s="334"/>
      <c r="OY22" s="334"/>
      <c r="OZ22" s="334"/>
      <c r="PA22" s="334"/>
      <c r="PB22" s="334"/>
      <c r="PC22" s="334"/>
      <c r="PD22" s="334"/>
      <c r="PE22" s="334"/>
      <c r="PF22" s="334"/>
      <c r="PG22" s="334"/>
      <c r="PH22" s="334"/>
      <c r="PI22" s="334"/>
      <c r="PJ22" s="334"/>
      <c r="PK22" s="334"/>
      <c r="PL22" s="334"/>
      <c r="PM22" s="334"/>
      <c r="PN22" s="334"/>
      <c r="PO22" s="334"/>
      <c r="PP22" s="334"/>
      <c r="PQ22" s="334"/>
      <c r="PR22" s="334"/>
      <c r="PS22" s="334"/>
      <c r="PT22" s="334"/>
      <c r="PU22" s="334"/>
      <c r="PV22" s="334"/>
      <c r="PW22" s="334"/>
      <c r="PX22" s="334"/>
      <c r="PY22" s="334"/>
      <c r="PZ22" s="334"/>
      <c r="QA22" s="334"/>
      <c r="QB22" s="334"/>
      <c r="QC22" s="334"/>
      <c r="QD22" s="334"/>
      <c r="QE22" s="334"/>
      <c r="QF22" s="334"/>
      <c r="QG22" s="334"/>
      <c r="QH22" s="334"/>
      <c r="QI22" s="334"/>
      <c r="QJ22" s="334"/>
      <c r="QK22" s="334"/>
      <c r="QL22" s="334"/>
      <c r="QM22" s="334"/>
      <c r="QN22" s="334"/>
      <c r="QO22" s="334"/>
      <c r="QP22" s="334"/>
      <c r="QQ22" s="334"/>
      <c r="QR22" s="334"/>
      <c r="QS22" s="334"/>
      <c r="QT22" s="334"/>
      <c r="QU22" s="334"/>
      <c r="QV22" s="334"/>
      <c r="QW22" s="334"/>
      <c r="QX22" s="334"/>
      <c r="QY22" s="334"/>
      <c r="QZ22" s="334"/>
      <c r="RA22" s="334"/>
      <c r="RB22" s="334"/>
      <c r="RC22" s="334"/>
      <c r="RD22" s="334"/>
      <c r="RE22" s="334"/>
      <c r="RF22" s="334"/>
      <c r="RG22" s="334"/>
      <c r="RH22" s="334"/>
      <c r="RI22" s="334"/>
      <c r="RJ22" s="334"/>
      <c r="RK22" s="334"/>
      <c r="RL22" s="334"/>
      <c r="RM22" s="334"/>
      <c r="RN22" s="334"/>
      <c r="RO22" s="334"/>
      <c r="RP22" s="334"/>
      <c r="RQ22" s="334"/>
      <c r="RR22" s="334"/>
      <c r="RS22" s="334"/>
      <c r="RT22" s="334"/>
      <c r="RU22" s="334"/>
      <c r="RV22" s="334"/>
      <c r="RW22" s="334"/>
      <c r="RX22" s="334"/>
      <c r="RY22" s="334"/>
      <c r="RZ22" s="334"/>
      <c r="SA22" s="334"/>
      <c r="SB22" s="334"/>
      <c r="SC22" s="334"/>
      <c r="SD22" s="334"/>
      <c r="SE22" s="334"/>
      <c r="SF22" s="334"/>
      <c r="SG22" s="334"/>
      <c r="SH22" s="334"/>
      <c r="SI22" s="334"/>
      <c r="SJ22" s="334"/>
      <c r="SK22" s="334"/>
      <c r="SL22" s="334"/>
      <c r="SM22" s="334"/>
      <c r="SN22" s="334"/>
      <c r="SO22" s="334"/>
      <c r="SP22" s="334"/>
      <c r="SQ22" s="334"/>
      <c r="SR22" s="334"/>
      <c r="SS22" s="334"/>
      <c r="ST22" s="334"/>
      <c r="SU22" s="334"/>
      <c r="SV22" s="334"/>
      <c r="SW22" s="334"/>
      <c r="SX22" s="334"/>
      <c r="SY22" s="334"/>
      <c r="SZ22" s="334"/>
      <c r="TA22" s="334"/>
      <c r="TB22" s="334"/>
      <c r="TC22" s="334"/>
      <c r="TD22" s="334"/>
      <c r="TE22" s="334"/>
      <c r="TF22" s="334"/>
      <c r="TG22" s="334"/>
      <c r="TH22" s="334"/>
      <c r="TI22" s="334"/>
      <c r="TJ22" s="334"/>
      <c r="TK22" s="334"/>
      <c r="TL22" s="334"/>
      <c r="TM22" s="334"/>
      <c r="TN22" s="334"/>
      <c r="TO22" s="334"/>
      <c r="TP22" s="334"/>
      <c r="TQ22" s="334"/>
      <c r="TR22" s="334"/>
      <c r="TS22" s="334"/>
      <c r="TT22" s="334"/>
      <c r="TU22" s="334"/>
      <c r="TV22" s="334"/>
      <c r="TW22" s="334"/>
      <c r="TX22" s="334"/>
      <c r="TY22" s="334"/>
      <c r="TZ22" s="334"/>
      <c r="UA22" s="334"/>
      <c r="UB22" s="334"/>
      <c r="UC22" s="334"/>
      <c r="UD22" s="334"/>
      <c r="UE22" s="334"/>
      <c r="UF22" s="334"/>
      <c r="UG22" s="334"/>
      <c r="UH22" s="334"/>
      <c r="UI22" s="334"/>
      <c r="UJ22" s="334"/>
      <c r="UK22" s="334"/>
      <c r="UL22" s="334"/>
      <c r="UM22" s="334"/>
      <c r="UN22" s="334"/>
      <c r="UO22" s="334"/>
      <c r="UP22" s="334"/>
      <c r="UQ22" s="334"/>
      <c r="UR22" s="334"/>
      <c r="US22" s="334"/>
      <c r="UT22" s="334"/>
      <c r="UU22" s="334"/>
      <c r="UV22" s="334"/>
      <c r="UW22" s="334"/>
      <c r="UX22" s="334"/>
      <c r="UY22" s="334"/>
      <c r="UZ22" s="334"/>
      <c r="VA22" s="334"/>
      <c r="VB22" s="334"/>
      <c r="VC22" s="334"/>
      <c r="VD22" s="334"/>
      <c r="VE22" s="334"/>
      <c r="VF22" s="334"/>
      <c r="VG22" s="334"/>
      <c r="VH22" s="334"/>
      <c r="VI22" s="334"/>
      <c r="VJ22" s="334"/>
      <c r="VK22" s="334"/>
      <c r="VL22" s="334"/>
      <c r="VM22" s="334"/>
      <c r="VN22" s="334"/>
      <c r="VO22" s="334"/>
      <c r="VP22" s="334"/>
      <c r="VQ22" s="334"/>
      <c r="VR22" s="334"/>
      <c r="VS22" s="334"/>
      <c r="VT22" s="334"/>
      <c r="VU22" s="334"/>
      <c r="VV22" s="334"/>
      <c r="VW22" s="334"/>
      <c r="VX22" s="334"/>
      <c r="VY22" s="334"/>
      <c r="VZ22" s="334"/>
      <c r="WA22" s="334"/>
      <c r="WB22" s="334"/>
      <c r="WC22" s="334"/>
      <c r="WD22" s="334"/>
      <c r="WE22" s="334"/>
      <c r="WF22" s="334"/>
      <c r="WG22" s="334"/>
      <c r="WH22" s="334"/>
      <c r="WI22" s="334"/>
      <c r="WJ22" s="334"/>
      <c r="WK22" s="334"/>
      <c r="WL22" s="334"/>
      <c r="WM22" s="334"/>
      <c r="WN22" s="334"/>
      <c r="WO22" s="334"/>
      <c r="WP22" s="334"/>
      <c r="WQ22" s="334"/>
      <c r="WR22" s="334"/>
      <c r="WS22" s="334"/>
      <c r="WT22" s="334"/>
      <c r="WU22" s="334"/>
      <c r="WV22" s="334"/>
      <c r="WW22" s="334"/>
      <c r="WX22" s="334"/>
      <c r="WY22" s="334"/>
      <c r="WZ22" s="334"/>
      <c r="XA22" s="334"/>
      <c r="XB22" s="334"/>
      <c r="XC22" s="334"/>
      <c r="XD22" s="334"/>
      <c r="XE22" s="334"/>
      <c r="XF22" s="334"/>
      <c r="XG22" s="334"/>
      <c r="XH22" s="334"/>
      <c r="XI22" s="334"/>
      <c r="XJ22" s="334"/>
      <c r="XK22" s="334"/>
      <c r="XL22" s="334"/>
      <c r="XM22" s="334"/>
      <c r="XN22" s="334"/>
      <c r="XO22" s="334"/>
      <c r="XP22" s="334"/>
      <c r="XQ22" s="334"/>
      <c r="XR22" s="334"/>
      <c r="XS22" s="334"/>
      <c r="XT22" s="334"/>
      <c r="XU22" s="334"/>
      <c r="XV22" s="334"/>
      <c r="XW22" s="334"/>
      <c r="XX22" s="334"/>
      <c r="XY22" s="334"/>
      <c r="XZ22" s="334"/>
      <c r="YA22" s="334"/>
      <c r="YB22" s="334"/>
      <c r="YC22" s="334"/>
      <c r="YD22" s="334"/>
      <c r="YE22" s="334"/>
      <c r="YF22" s="334"/>
      <c r="YG22" s="334"/>
      <c r="YH22" s="334"/>
      <c r="YI22" s="334"/>
      <c r="YJ22" s="334"/>
      <c r="YK22" s="334"/>
      <c r="YL22" s="334"/>
      <c r="YM22" s="334"/>
      <c r="YN22" s="334"/>
      <c r="YO22" s="334"/>
      <c r="YP22" s="334"/>
      <c r="YQ22" s="334"/>
      <c r="YR22" s="334"/>
      <c r="YS22" s="334"/>
      <c r="YT22" s="334"/>
      <c r="YU22" s="334"/>
      <c r="YV22" s="334"/>
      <c r="YW22" s="334"/>
      <c r="YX22" s="334"/>
      <c r="YY22" s="334"/>
      <c r="YZ22" s="334"/>
      <c r="ZA22" s="334"/>
      <c r="ZB22" s="334"/>
      <c r="ZC22" s="334"/>
      <c r="ZD22" s="334"/>
      <c r="ZE22" s="334"/>
      <c r="ZF22" s="334"/>
      <c r="ZG22" s="334"/>
      <c r="ZH22" s="334"/>
      <c r="ZI22" s="334"/>
      <c r="ZJ22" s="334"/>
      <c r="ZK22" s="334"/>
      <c r="ZL22" s="334"/>
      <c r="ZM22" s="334"/>
      <c r="ZN22" s="334"/>
      <c r="ZO22" s="334"/>
      <c r="ZP22" s="334"/>
      <c r="ZQ22" s="334"/>
      <c r="ZR22" s="334"/>
      <c r="ZS22" s="334"/>
      <c r="ZT22" s="334"/>
      <c r="ZU22" s="334"/>
      <c r="ZV22" s="334"/>
      <c r="ZW22" s="334"/>
      <c r="ZX22" s="334"/>
      <c r="ZY22" s="334"/>
      <c r="ZZ22" s="334"/>
      <c r="AAA22" s="334"/>
      <c r="AAB22" s="334"/>
      <c r="AAC22" s="334"/>
      <c r="AAD22" s="334"/>
      <c r="AAE22" s="334"/>
      <c r="AAF22" s="334"/>
      <c r="AAG22" s="334"/>
      <c r="AAH22" s="334"/>
      <c r="AAI22" s="334"/>
      <c r="AAJ22" s="334"/>
      <c r="AAK22" s="334"/>
      <c r="AAL22" s="334"/>
      <c r="AAM22" s="334"/>
      <c r="AAN22" s="334"/>
      <c r="AAO22" s="334"/>
      <c r="AAP22" s="334"/>
      <c r="AAQ22" s="334"/>
      <c r="AAR22" s="334"/>
      <c r="AAS22" s="334"/>
      <c r="AAT22" s="334"/>
      <c r="AAU22" s="334"/>
      <c r="AAV22" s="334"/>
      <c r="AAW22" s="334"/>
      <c r="AAX22" s="334"/>
      <c r="AAY22" s="334"/>
      <c r="AAZ22" s="334"/>
      <c r="ABA22" s="334"/>
      <c r="ABB22" s="334"/>
      <c r="ABC22" s="334"/>
      <c r="ABD22" s="334"/>
      <c r="ABE22" s="334"/>
      <c r="ABF22" s="334"/>
      <c r="ABG22" s="334"/>
      <c r="ABH22" s="334"/>
      <c r="ABI22" s="334"/>
      <c r="ABJ22" s="334"/>
      <c r="ABK22" s="334"/>
      <c r="ABL22" s="334"/>
      <c r="ABM22" s="334"/>
      <c r="ABN22" s="334"/>
      <c r="ABO22" s="334"/>
      <c r="ABP22" s="334"/>
      <c r="ABQ22" s="334"/>
      <c r="ABR22" s="334"/>
      <c r="ABS22" s="334"/>
      <c r="ABT22" s="334"/>
      <c r="ABU22" s="334"/>
      <c r="ABV22" s="334"/>
      <c r="ABW22" s="334"/>
      <c r="ABX22" s="334"/>
      <c r="ABY22" s="334"/>
      <c r="ABZ22" s="334"/>
      <c r="ACA22" s="334"/>
      <c r="ACB22" s="334"/>
      <c r="ACC22" s="334"/>
      <c r="ACD22" s="334"/>
      <c r="ACE22" s="334"/>
      <c r="ACF22" s="334"/>
      <c r="ACG22" s="334"/>
      <c r="ACH22" s="334"/>
      <c r="ACI22" s="334"/>
      <c r="ACJ22" s="334"/>
      <c r="ACK22" s="334"/>
      <c r="ACL22" s="334"/>
      <c r="ACM22" s="334"/>
      <c r="ACN22" s="334"/>
      <c r="ACO22" s="334"/>
      <c r="ACP22" s="334"/>
      <c r="ACQ22" s="334"/>
      <c r="ACR22" s="334"/>
      <c r="ACS22" s="334"/>
      <c r="ACT22" s="334"/>
      <c r="ACU22" s="334"/>
      <c r="ACV22" s="334"/>
      <c r="ACW22" s="334"/>
      <c r="ACX22" s="334"/>
      <c r="ACY22" s="334"/>
      <c r="ACZ22" s="334"/>
      <c r="ADA22" s="334"/>
      <c r="ADB22" s="334"/>
      <c r="ADC22" s="334"/>
      <c r="ADD22" s="334"/>
      <c r="ADE22" s="334"/>
      <c r="ADF22" s="334"/>
      <c r="ADG22" s="334"/>
      <c r="ADH22" s="334"/>
      <c r="ADI22" s="334"/>
      <c r="ADJ22" s="334"/>
      <c r="ADK22" s="334"/>
      <c r="ADL22" s="334"/>
      <c r="ADM22" s="334"/>
      <c r="ADN22" s="334"/>
      <c r="ADO22" s="334"/>
      <c r="ADP22" s="334"/>
      <c r="ADQ22" s="334"/>
      <c r="ADR22" s="334"/>
      <c r="ADS22" s="334"/>
      <c r="ADT22" s="334"/>
      <c r="ADU22" s="334"/>
      <c r="ADV22" s="334"/>
      <c r="ADW22" s="334"/>
      <c r="ADX22" s="334"/>
      <c r="ADY22" s="334"/>
      <c r="ADZ22" s="334"/>
      <c r="AEA22" s="334"/>
      <c r="AEB22" s="334"/>
      <c r="AEC22" s="334"/>
      <c r="AED22" s="334"/>
      <c r="AEE22" s="334"/>
      <c r="AEF22" s="334"/>
      <c r="AEG22" s="334"/>
      <c r="AEH22" s="334"/>
      <c r="AEI22" s="334"/>
      <c r="AEJ22" s="334"/>
      <c r="AEK22" s="334"/>
      <c r="AEL22" s="334"/>
      <c r="AEM22" s="334"/>
      <c r="AEN22" s="334"/>
      <c r="AEO22" s="334"/>
      <c r="AEP22" s="334"/>
      <c r="AEQ22" s="334"/>
      <c r="AER22" s="334"/>
      <c r="AES22" s="334"/>
      <c r="AET22" s="334"/>
      <c r="AEU22" s="334"/>
      <c r="AEV22" s="334"/>
      <c r="AEW22" s="334"/>
      <c r="AEX22" s="334"/>
      <c r="AEY22" s="334"/>
      <c r="AEZ22" s="334"/>
      <c r="AFA22" s="334"/>
      <c r="AFB22" s="334"/>
      <c r="AFC22" s="334"/>
      <c r="AFD22" s="334"/>
      <c r="AFE22" s="334"/>
      <c r="AFF22" s="334"/>
      <c r="AFG22" s="334"/>
      <c r="AFH22" s="334"/>
      <c r="AFI22" s="334"/>
      <c r="AFJ22" s="334"/>
      <c r="AFK22" s="334"/>
      <c r="AFL22" s="334"/>
      <c r="AFM22" s="334"/>
      <c r="AFN22" s="334"/>
      <c r="AFO22" s="334"/>
      <c r="AFP22" s="334"/>
      <c r="AFQ22" s="334"/>
      <c r="AFR22" s="334"/>
      <c r="AFS22" s="334"/>
      <c r="AFT22" s="334"/>
      <c r="AFU22" s="334"/>
      <c r="AFV22" s="334"/>
      <c r="AFW22" s="334"/>
      <c r="AFX22" s="334"/>
      <c r="AFY22" s="334"/>
      <c r="AFZ22" s="334"/>
      <c r="AGA22" s="334"/>
      <c r="AGB22" s="334"/>
      <c r="AGC22" s="334"/>
      <c r="AGD22" s="334"/>
      <c r="AGE22" s="334"/>
      <c r="AGF22" s="334"/>
      <c r="AGG22" s="334"/>
      <c r="AGH22" s="334"/>
      <c r="AGI22" s="334"/>
      <c r="AGJ22" s="334"/>
      <c r="AGK22" s="334"/>
      <c r="AGL22" s="334"/>
      <c r="AGM22" s="334"/>
      <c r="AGN22" s="334"/>
      <c r="AGO22" s="334"/>
      <c r="AGP22" s="334"/>
      <c r="AGQ22" s="334"/>
      <c r="AGR22" s="334"/>
      <c r="AGS22" s="334"/>
      <c r="AGT22" s="334"/>
      <c r="AGU22" s="334"/>
      <c r="AGV22" s="334"/>
      <c r="AGW22" s="334"/>
      <c r="AGX22" s="334"/>
      <c r="AGY22" s="334"/>
      <c r="AGZ22" s="334"/>
      <c r="AHA22" s="334"/>
      <c r="AHB22" s="334"/>
      <c r="AHC22" s="334"/>
      <c r="AHD22" s="334"/>
      <c r="AHE22" s="334"/>
      <c r="AHF22" s="334"/>
      <c r="AHG22" s="334"/>
      <c r="AHH22" s="334"/>
      <c r="AHI22" s="334"/>
      <c r="AHJ22" s="334"/>
      <c r="AHK22" s="334"/>
      <c r="AHL22" s="334"/>
      <c r="AHM22" s="334"/>
      <c r="AHN22" s="334"/>
      <c r="AHO22" s="334"/>
      <c r="AHP22" s="334"/>
      <c r="AHQ22" s="334"/>
      <c r="AHR22" s="334"/>
      <c r="AHS22" s="334"/>
      <c r="AHT22" s="334"/>
      <c r="AHU22" s="334"/>
      <c r="AHV22" s="334"/>
      <c r="AHW22" s="334"/>
      <c r="AHX22" s="334"/>
      <c r="AHY22" s="334"/>
      <c r="AHZ22" s="334"/>
      <c r="AIA22" s="334"/>
      <c r="AIB22" s="334"/>
      <c r="AIC22" s="334"/>
      <c r="AID22" s="334"/>
      <c r="AIE22" s="334"/>
      <c r="AIF22" s="334"/>
      <c r="AIG22" s="334"/>
      <c r="AIH22" s="334"/>
      <c r="AII22" s="334"/>
      <c r="AIJ22" s="334"/>
      <c r="AIK22" s="334"/>
      <c r="AIL22" s="334"/>
      <c r="AIM22" s="334"/>
      <c r="AIN22" s="334"/>
      <c r="AIO22" s="334"/>
      <c r="AIP22" s="334"/>
      <c r="AIQ22" s="334"/>
      <c r="AIR22" s="334"/>
      <c r="AIS22" s="334"/>
      <c r="AIT22" s="334"/>
      <c r="AIU22" s="334"/>
      <c r="AIV22" s="334"/>
      <c r="AIW22" s="334"/>
      <c r="AIX22" s="334"/>
      <c r="AIY22" s="334"/>
      <c r="AIZ22" s="334"/>
      <c r="AJA22" s="334"/>
      <c r="AJB22" s="334"/>
      <c r="AJC22" s="334"/>
      <c r="AJD22" s="334"/>
      <c r="AJE22" s="334"/>
      <c r="AJF22" s="334"/>
      <c r="AJG22" s="334"/>
      <c r="AJH22" s="334"/>
      <c r="AJI22" s="334"/>
      <c r="AJJ22" s="334"/>
      <c r="AJK22" s="334"/>
      <c r="AJL22" s="334"/>
      <c r="AJM22" s="334"/>
      <c r="AJN22" s="334"/>
      <c r="AJO22" s="334"/>
      <c r="AJP22" s="334"/>
      <c r="AJQ22" s="334"/>
      <c r="AJR22" s="334"/>
      <c r="AJS22" s="334"/>
      <c r="AJT22" s="334"/>
      <c r="AJU22" s="334"/>
      <c r="AJV22" s="334"/>
      <c r="AJW22" s="334"/>
      <c r="AJX22" s="334"/>
      <c r="AJY22" s="334"/>
      <c r="AJZ22" s="334"/>
      <c r="AKA22" s="334"/>
      <c r="AKB22" s="334"/>
      <c r="AKC22" s="334"/>
      <c r="AKD22" s="334"/>
      <c r="AKE22" s="334"/>
      <c r="AKF22" s="334"/>
      <c r="AKG22" s="334"/>
      <c r="AKH22" s="334"/>
      <c r="AKI22" s="334"/>
      <c r="AKJ22" s="334"/>
      <c r="AKK22" s="334"/>
      <c r="AKL22" s="334"/>
      <c r="AKM22" s="334"/>
      <c r="AKN22" s="334"/>
      <c r="AKO22" s="334"/>
      <c r="AKP22" s="334"/>
      <c r="AKQ22" s="334"/>
      <c r="AKR22" s="334"/>
      <c r="AKS22" s="334"/>
      <c r="AKT22" s="334"/>
      <c r="AKU22" s="334"/>
      <c r="AKV22" s="334"/>
      <c r="AKW22" s="334"/>
      <c r="AKX22" s="334"/>
      <c r="AKY22" s="334"/>
      <c r="AKZ22" s="334"/>
      <c r="ALA22" s="334"/>
      <c r="ALB22" s="334"/>
      <c r="ALC22" s="334"/>
      <c r="ALD22" s="334"/>
      <c r="ALE22" s="334"/>
      <c r="ALF22" s="334"/>
      <c r="ALG22" s="334"/>
      <c r="ALH22" s="334"/>
      <c r="ALI22" s="334"/>
      <c r="ALJ22" s="334"/>
      <c r="ALK22" s="334"/>
      <c r="ALL22" s="334"/>
      <c r="ALM22" s="334"/>
      <c r="ALN22" s="334"/>
      <c r="ALO22" s="334"/>
      <c r="ALP22" s="334"/>
      <c r="ALQ22" s="334"/>
      <c r="ALR22" s="334"/>
      <c r="ALS22" s="334"/>
      <c r="ALT22" s="334"/>
      <c r="ALU22" s="334"/>
      <c r="ALV22" s="334"/>
      <c r="ALW22" s="334"/>
      <c r="ALX22" s="334"/>
      <c r="ALY22" s="334"/>
      <c r="ALZ22" s="334"/>
      <c r="AMA22" s="334"/>
      <c r="AMB22" s="334"/>
      <c r="AMC22" s="334"/>
      <c r="AMD22" s="334"/>
      <c r="AME22" s="334"/>
      <c r="AMF22" s="334"/>
      <c r="AMG22" s="334"/>
      <c r="AMH22" s="334"/>
      <c r="AMI22" s="334"/>
      <c r="AMJ22" s="334"/>
      <c r="AMK22" s="334"/>
      <c r="AML22" s="334"/>
      <c r="AMM22" s="334"/>
      <c r="AMN22" s="334"/>
      <c r="AMO22" s="334"/>
      <c r="AMP22" s="334"/>
      <c r="AMQ22" s="334"/>
      <c r="AMR22" s="334"/>
      <c r="AMS22" s="334"/>
      <c r="AMT22" s="334"/>
      <c r="AMU22" s="334"/>
      <c r="AMV22" s="334"/>
      <c r="AMW22" s="334"/>
      <c r="AMX22" s="334"/>
      <c r="AMY22" s="334"/>
      <c r="AMZ22" s="334"/>
    </row>
    <row r="23" spans="1:1040" s="333" customFormat="1" ht="13.2" x14ac:dyDescent="0.25">
      <c r="A23" s="335"/>
      <c r="B23" s="335"/>
      <c r="C23" s="335"/>
      <c r="D23" s="335"/>
      <c r="E23" s="335"/>
      <c r="F23" s="335"/>
      <c r="G23" s="335"/>
      <c r="H23" s="335"/>
      <c r="I23" s="335"/>
      <c r="J23" s="335"/>
      <c r="M23" s="334"/>
      <c r="N23" s="334"/>
      <c r="O23" s="334"/>
      <c r="P23" s="334"/>
      <c r="Q23" s="334"/>
      <c r="R23" s="334"/>
      <c r="S23" s="334"/>
      <c r="T23" s="334"/>
      <c r="U23" s="334"/>
      <c r="V23" s="334"/>
      <c r="W23" s="334"/>
      <c r="X23" s="334"/>
      <c r="Y23" s="334"/>
      <c r="Z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c r="DD23" s="334"/>
      <c r="DE23" s="334"/>
      <c r="DF23" s="334"/>
      <c r="DG23" s="334"/>
      <c r="DH23" s="334"/>
      <c r="DI23" s="334"/>
      <c r="DJ23" s="334"/>
      <c r="DK23" s="334"/>
      <c r="DL23" s="334"/>
      <c r="DM23" s="334"/>
      <c r="DN23" s="334"/>
      <c r="DO23" s="334"/>
      <c r="DP23" s="334"/>
      <c r="DQ23" s="334"/>
      <c r="DR23" s="334"/>
      <c r="DS23" s="334"/>
      <c r="DT23" s="334"/>
      <c r="DU23" s="334"/>
      <c r="DV23" s="334"/>
      <c r="DW23" s="334"/>
      <c r="DX23" s="334"/>
      <c r="DY23" s="334"/>
      <c r="DZ23" s="334"/>
      <c r="EA23" s="334"/>
      <c r="EB23" s="334"/>
      <c r="EC23" s="334"/>
      <c r="ED23" s="334"/>
      <c r="EE23" s="334"/>
      <c r="EF23" s="334"/>
      <c r="EG23" s="334"/>
      <c r="EH23" s="334"/>
      <c r="EI23" s="334"/>
      <c r="EJ23" s="334"/>
      <c r="EK23" s="334"/>
      <c r="EL23" s="334"/>
      <c r="EM23" s="334"/>
      <c r="EN23" s="334"/>
      <c r="EO23" s="334"/>
      <c r="EP23" s="334"/>
      <c r="EQ23" s="334"/>
      <c r="ER23" s="334"/>
      <c r="ES23" s="334"/>
      <c r="ET23" s="334"/>
      <c r="EU23" s="334"/>
      <c r="EV23" s="334"/>
      <c r="EW23" s="334"/>
      <c r="EX23" s="334"/>
      <c r="EY23" s="334"/>
      <c r="EZ23" s="334"/>
      <c r="FA23" s="334"/>
      <c r="FB23" s="334"/>
      <c r="FC23" s="334"/>
      <c r="FD23" s="334"/>
      <c r="FE23" s="334"/>
      <c r="FF23" s="334"/>
      <c r="FG23" s="334"/>
      <c r="FH23" s="334"/>
      <c r="FI23" s="334"/>
      <c r="FJ23" s="334"/>
      <c r="FK23" s="334"/>
      <c r="FL23" s="334"/>
      <c r="FM23" s="334"/>
      <c r="FN23" s="334"/>
      <c r="FO23" s="334"/>
      <c r="FP23" s="334"/>
      <c r="FQ23" s="334"/>
      <c r="FR23" s="334"/>
      <c r="FS23" s="334"/>
      <c r="FT23" s="334"/>
      <c r="FU23" s="334"/>
      <c r="FV23" s="334"/>
      <c r="FW23" s="334"/>
      <c r="FX23" s="334"/>
      <c r="FY23" s="334"/>
      <c r="FZ23" s="334"/>
      <c r="GA23" s="334"/>
      <c r="GB23" s="334"/>
      <c r="GC23" s="334"/>
      <c r="GD23" s="334"/>
      <c r="GE23" s="334"/>
      <c r="GF23" s="334"/>
      <c r="GG23" s="334"/>
      <c r="GH23" s="334"/>
      <c r="GI23" s="334"/>
      <c r="GJ23" s="334"/>
      <c r="GK23" s="334"/>
      <c r="GL23" s="334"/>
      <c r="GM23" s="334"/>
      <c r="GN23" s="334"/>
      <c r="GO23" s="334"/>
      <c r="GP23" s="334"/>
      <c r="GQ23" s="334"/>
      <c r="GR23" s="334"/>
      <c r="GS23" s="334"/>
      <c r="GT23" s="334"/>
      <c r="GU23" s="334"/>
      <c r="GV23" s="334"/>
      <c r="GW23" s="334"/>
      <c r="GX23" s="334"/>
      <c r="GY23" s="334"/>
      <c r="GZ23" s="334"/>
      <c r="HA23" s="334"/>
      <c r="HB23" s="334"/>
      <c r="HC23" s="334"/>
      <c r="HD23" s="334"/>
      <c r="HE23" s="334"/>
      <c r="HF23" s="334"/>
      <c r="HG23" s="334"/>
      <c r="HH23" s="334"/>
      <c r="HI23" s="334"/>
      <c r="HJ23" s="334"/>
      <c r="HK23" s="334"/>
      <c r="HL23" s="334"/>
      <c r="HM23" s="334"/>
      <c r="HN23" s="334"/>
      <c r="HO23" s="334"/>
      <c r="HP23" s="334"/>
      <c r="HQ23" s="334"/>
      <c r="HR23" s="334"/>
      <c r="HS23" s="334"/>
      <c r="HT23" s="334"/>
      <c r="HU23" s="334"/>
      <c r="HV23" s="334"/>
      <c r="HW23" s="334"/>
      <c r="HX23" s="334"/>
      <c r="HY23" s="334"/>
      <c r="HZ23" s="334"/>
      <c r="IA23" s="334"/>
      <c r="IB23" s="334"/>
      <c r="IC23" s="334"/>
      <c r="ID23" s="334"/>
      <c r="IE23" s="334"/>
      <c r="IF23" s="334"/>
      <c r="IG23" s="334"/>
      <c r="IH23" s="334"/>
      <c r="II23" s="334"/>
      <c r="IJ23" s="334"/>
      <c r="IK23" s="334"/>
      <c r="IL23" s="334"/>
      <c r="IM23" s="334"/>
      <c r="IN23" s="334"/>
      <c r="IO23" s="334"/>
      <c r="IP23" s="334"/>
      <c r="IQ23" s="334"/>
      <c r="IR23" s="334"/>
      <c r="IS23" s="334"/>
      <c r="IT23" s="334"/>
      <c r="IU23" s="334"/>
      <c r="IV23" s="334"/>
      <c r="IW23" s="334"/>
      <c r="IX23" s="334"/>
      <c r="IY23" s="334"/>
      <c r="IZ23" s="334"/>
      <c r="JA23" s="334"/>
      <c r="JB23" s="334"/>
      <c r="JC23" s="334"/>
      <c r="JD23" s="334"/>
      <c r="JE23" s="334"/>
      <c r="JF23" s="334"/>
      <c r="JG23" s="334"/>
      <c r="JH23" s="334"/>
      <c r="JI23" s="334"/>
      <c r="JJ23" s="334"/>
      <c r="JK23" s="334"/>
      <c r="JL23" s="334"/>
      <c r="JM23" s="334"/>
      <c r="JN23" s="334"/>
      <c r="JO23" s="334"/>
      <c r="JP23" s="334"/>
      <c r="JQ23" s="334"/>
      <c r="JR23" s="334"/>
      <c r="JS23" s="334"/>
      <c r="JT23" s="334"/>
      <c r="JU23" s="334"/>
      <c r="JV23" s="334"/>
      <c r="JW23" s="334"/>
      <c r="JX23" s="334"/>
      <c r="JY23" s="334"/>
      <c r="JZ23" s="334"/>
      <c r="KA23" s="334"/>
      <c r="KB23" s="334"/>
      <c r="KC23" s="334"/>
      <c r="KD23" s="334"/>
      <c r="KE23" s="334"/>
      <c r="KF23" s="334"/>
      <c r="KG23" s="334"/>
      <c r="KH23" s="334"/>
      <c r="KI23" s="334"/>
      <c r="KJ23" s="334"/>
      <c r="KK23" s="334"/>
      <c r="KL23" s="334"/>
      <c r="KM23" s="334"/>
      <c r="KN23" s="334"/>
      <c r="KO23" s="334"/>
      <c r="KP23" s="334"/>
      <c r="KQ23" s="334"/>
      <c r="KR23" s="334"/>
      <c r="KS23" s="334"/>
      <c r="KT23" s="334"/>
      <c r="KU23" s="334"/>
      <c r="KV23" s="334"/>
      <c r="KW23" s="334"/>
      <c r="KX23" s="334"/>
      <c r="KY23" s="334"/>
      <c r="KZ23" s="334"/>
      <c r="LA23" s="334"/>
      <c r="LB23" s="334"/>
      <c r="LC23" s="334"/>
      <c r="LD23" s="334"/>
      <c r="LE23" s="334"/>
      <c r="LF23" s="334"/>
      <c r="LG23" s="334"/>
      <c r="LH23" s="334"/>
      <c r="LI23" s="334"/>
      <c r="LJ23" s="334"/>
      <c r="LK23" s="334"/>
      <c r="LL23" s="334"/>
      <c r="LM23" s="334"/>
      <c r="LN23" s="334"/>
      <c r="LO23" s="334"/>
      <c r="LP23" s="334"/>
      <c r="LQ23" s="334"/>
      <c r="LR23" s="334"/>
      <c r="LS23" s="334"/>
      <c r="LT23" s="334"/>
      <c r="LU23" s="334"/>
      <c r="LV23" s="334"/>
      <c r="LW23" s="334"/>
      <c r="LX23" s="334"/>
      <c r="LY23" s="334"/>
      <c r="LZ23" s="334"/>
      <c r="MA23" s="334"/>
      <c r="MB23" s="334"/>
      <c r="MC23" s="334"/>
      <c r="MD23" s="334"/>
      <c r="ME23" s="334"/>
      <c r="MF23" s="334"/>
      <c r="MG23" s="334"/>
      <c r="MH23" s="334"/>
      <c r="MI23" s="334"/>
      <c r="MJ23" s="334"/>
      <c r="MK23" s="334"/>
      <c r="ML23" s="334"/>
      <c r="MM23" s="334"/>
      <c r="MN23" s="334"/>
      <c r="MO23" s="334"/>
      <c r="MP23" s="334"/>
      <c r="MQ23" s="334"/>
      <c r="MR23" s="334"/>
      <c r="MS23" s="334"/>
      <c r="MT23" s="334"/>
      <c r="MU23" s="334"/>
      <c r="MV23" s="334"/>
      <c r="MW23" s="334"/>
      <c r="MX23" s="334"/>
      <c r="MY23" s="334"/>
      <c r="MZ23" s="334"/>
      <c r="NA23" s="334"/>
      <c r="NB23" s="334"/>
      <c r="NC23" s="334"/>
      <c r="ND23" s="334"/>
      <c r="NE23" s="334"/>
      <c r="NF23" s="334"/>
      <c r="NG23" s="334"/>
      <c r="NH23" s="334"/>
      <c r="NI23" s="334"/>
      <c r="NJ23" s="334"/>
      <c r="NK23" s="334"/>
      <c r="NL23" s="334"/>
      <c r="NM23" s="334"/>
      <c r="NN23" s="334"/>
      <c r="NO23" s="334"/>
      <c r="NP23" s="334"/>
      <c r="NQ23" s="334"/>
      <c r="NR23" s="334"/>
      <c r="NS23" s="334"/>
      <c r="NT23" s="334"/>
      <c r="NU23" s="334"/>
      <c r="NV23" s="334"/>
      <c r="NW23" s="334"/>
      <c r="NX23" s="334"/>
      <c r="NY23" s="334"/>
      <c r="NZ23" s="334"/>
      <c r="OA23" s="334"/>
      <c r="OB23" s="334"/>
      <c r="OC23" s="334"/>
      <c r="OD23" s="334"/>
      <c r="OE23" s="334"/>
      <c r="OF23" s="334"/>
      <c r="OG23" s="334"/>
      <c r="OH23" s="334"/>
      <c r="OI23" s="334"/>
      <c r="OJ23" s="334"/>
      <c r="OK23" s="334"/>
      <c r="OL23" s="334"/>
      <c r="OM23" s="334"/>
      <c r="ON23" s="334"/>
      <c r="OO23" s="334"/>
      <c r="OP23" s="334"/>
      <c r="OQ23" s="334"/>
      <c r="OR23" s="334"/>
      <c r="OS23" s="334"/>
      <c r="OT23" s="334"/>
      <c r="OU23" s="334"/>
      <c r="OV23" s="334"/>
      <c r="OW23" s="334"/>
      <c r="OX23" s="334"/>
      <c r="OY23" s="334"/>
      <c r="OZ23" s="334"/>
      <c r="PA23" s="334"/>
      <c r="PB23" s="334"/>
      <c r="PC23" s="334"/>
      <c r="PD23" s="334"/>
      <c r="PE23" s="334"/>
      <c r="PF23" s="334"/>
      <c r="PG23" s="334"/>
      <c r="PH23" s="334"/>
      <c r="PI23" s="334"/>
      <c r="PJ23" s="334"/>
      <c r="PK23" s="334"/>
      <c r="PL23" s="334"/>
      <c r="PM23" s="334"/>
      <c r="PN23" s="334"/>
      <c r="PO23" s="334"/>
      <c r="PP23" s="334"/>
      <c r="PQ23" s="334"/>
      <c r="PR23" s="334"/>
      <c r="PS23" s="334"/>
      <c r="PT23" s="334"/>
      <c r="PU23" s="334"/>
      <c r="PV23" s="334"/>
      <c r="PW23" s="334"/>
      <c r="PX23" s="334"/>
      <c r="PY23" s="334"/>
      <c r="PZ23" s="334"/>
      <c r="QA23" s="334"/>
      <c r="QB23" s="334"/>
      <c r="QC23" s="334"/>
      <c r="QD23" s="334"/>
      <c r="QE23" s="334"/>
      <c r="QF23" s="334"/>
      <c r="QG23" s="334"/>
      <c r="QH23" s="334"/>
      <c r="QI23" s="334"/>
      <c r="QJ23" s="334"/>
      <c r="QK23" s="334"/>
      <c r="QL23" s="334"/>
      <c r="QM23" s="334"/>
      <c r="QN23" s="334"/>
      <c r="QO23" s="334"/>
      <c r="QP23" s="334"/>
      <c r="QQ23" s="334"/>
      <c r="QR23" s="334"/>
      <c r="QS23" s="334"/>
      <c r="QT23" s="334"/>
      <c r="QU23" s="334"/>
      <c r="QV23" s="334"/>
      <c r="QW23" s="334"/>
      <c r="QX23" s="334"/>
      <c r="QY23" s="334"/>
      <c r="QZ23" s="334"/>
      <c r="RA23" s="334"/>
      <c r="RB23" s="334"/>
      <c r="RC23" s="334"/>
      <c r="RD23" s="334"/>
      <c r="RE23" s="334"/>
      <c r="RF23" s="334"/>
      <c r="RG23" s="334"/>
      <c r="RH23" s="334"/>
      <c r="RI23" s="334"/>
      <c r="RJ23" s="334"/>
      <c r="RK23" s="334"/>
      <c r="RL23" s="334"/>
      <c r="RM23" s="334"/>
      <c r="RN23" s="334"/>
      <c r="RO23" s="334"/>
      <c r="RP23" s="334"/>
      <c r="RQ23" s="334"/>
      <c r="RR23" s="334"/>
      <c r="RS23" s="334"/>
      <c r="RT23" s="334"/>
      <c r="RU23" s="334"/>
      <c r="RV23" s="334"/>
      <c r="RW23" s="334"/>
      <c r="RX23" s="334"/>
      <c r="RY23" s="334"/>
      <c r="RZ23" s="334"/>
      <c r="SA23" s="334"/>
      <c r="SB23" s="334"/>
      <c r="SC23" s="334"/>
      <c r="SD23" s="334"/>
      <c r="SE23" s="334"/>
      <c r="SF23" s="334"/>
      <c r="SG23" s="334"/>
      <c r="SH23" s="334"/>
      <c r="SI23" s="334"/>
      <c r="SJ23" s="334"/>
      <c r="SK23" s="334"/>
      <c r="SL23" s="334"/>
      <c r="SM23" s="334"/>
      <c r="SN23" s="334"/>
      <c r="SO23" s="334"/>
      <c r="SP23" s="334"/>
      <c r="SQ23" s="334"/>
      <c r="SR23" s="334"/>
      <c r="SS23" s="334"/>
      <c r="ST23" s="334"/>
      <c r="SU23" s="334"/>
      <c r="SV23" s="334"/>
      <c r="SW23" s="334"/>
      <c r="SX23" s="334"/>
      <c r="SY23" s="334"/>
      <c r="SZ23" s="334"/>
      <c r="TA23" s="334"/>
      <c r="TB23" s="334"/>
      <c r="TC23" s="334"/>
      <c r="TD23" s="334"/>
      <c r="TE23" s="334"/>
      <c r="TF23" s="334"/>
      <c r="TG23" s="334"/>
      <c r="TH23" s="334"/>
      <c r="TI23" s="334"/>
      <c r="TJ23" s="334"/>
      <c r="TK23" s="334"/>
      <c r="TL23" s="334"/>
      <c r="TM23" s="334"/>
      <c r="TN23" s="334"/>
      <c r="TO23" s="334"/>
      <c r="TP23" s="334"/>
      <c r="TQ23" s="334"/>
      <c r="TR23" s="334"/>
      <c r="TS23" s="334"/>
      <c r="TT23" s="334"/>
      <c r="TU23" s="334"/>
      <c r="TV23" s="334"/>
      <c r="TW23" s="334"/>
      <c r="TX23" s="334"/>
      <c r="TY23" s="334"/>
      <c r="TZ23" s="334"/>
      <c r="UA23" s="334"/>
      <c r="UB23" s="334"/>
      <c r="UC23" s="334"/>
      <c r="UD23" s="334"/>
      <c r="UE23" s="334"/>
      <c r="UF23" s="334"/>
      <c r="UG23" s="334"/>
      <c r="UH23" s="334"/>
      <c r="UI23" s="334"/>
      <c r="UJ23" s="334"/>
      <c r="UK23" s="334"/>
      <c r="UL23" s="334"/>
      <c r="UM23" s="334"/>
      <c r="UN23" s="334"/>
      <c r="UO23" s="334"/>
      <c r="UP23" s="334"/>
      <c r="UQ23" s="334"/>
      <c r="UR23" s="334"/>
      <c r="US23" s="334"/>
      <c r="UT23" s="334"/>
      <c r="UU23" s="334"/>
      <c r="UV23" s="334"/>
      <c r="UW23" s="334"/>
      <c r="UX23" s="334"/>
      <c r="UY23" s="334"/>
      <c r="UZ23" s="334"/>
      <c r="VA23" s="334"/>
      <c r="VB23" s="334"/>
      <c r="VC23" s="334"/>
      <c r="VD23" s="334"/>
      <c r="VE23" s="334"/>
      <c r="VF23" s="334"/>
      <c r="VG23" s="334"/>
      <c r="VH23" s="334"/>
      <c r="VI23" s="334"/>
      <c r="VJ23" s="334"/>
      <c r="VK23" s="334"/>
      <c r="VL23" s="334"/>
      <c r="VM23" s="334"/>
      <c r="VN23" s="334"/>
      <c r="VO23" s="334"/>
      <c r="VP23" s="334"/>
      <c r="VQ23" s="334"/>
      <c r="VR23" s="334"/>
      <c r="VS23" s="334"/>
      <c r="VT23" s="334"/>
      <c r="VU23" s="334"/>
      <c r="VV23" s="334"/>
      <c r="VW23" s="334"/>
      <c r="VX23" s="334"/>
      <c r="VY23" s="334"/>
      <c r="VZ23" s="334"/>
      <c r="WA23" s="334"/>
      <c r="WB23" s="334"/>
      <c r="WC23" s="334"/>
      <c r="WD23" s="334"/>
      <c r="WE23" s="334"/>
      <c r="WF23" s="334"/>
      <c r="WG23" s="334"/>
      <c r="WH23" s="334"/>
      <c r="WI23" s="334"/>
      <c r="WJ23" s="334"/>
      <c r="WK23" s="334"/>
      <c r="WL23" s="334"/>
      <c r="WM23" s="334"/>
      <c r="WN23" s="334"/>
      <c r="WO23" s="334"/>
      <c r="WP23" s="334"/>
      <c r="WQ23" s="334"/>
      <c r="WR23" s="334"/>
      <c r="WS23" s="334"/>
      <c r="WT23" s="334"/>
      <c r="WU23" s="334"/>
      <c r="WV23" s="334"/>
      <c r="WW23" s="334"/>
      <c r="WX23" s="334"/>
      <c r="WY23" s="334"/>
      <c r="WZ23" s="334"/>
      <c r="XA23" s="334"/>
      <c r="XB23" s="334"/>
      <c r="XC23" s="334"/>
      <c r="XD23" s="334"/>
      <c r="XE23" s="334"/>
      <c r="XF23" s="334"/>
      <c r="XG23" s="334"/>
      <c r="XH23" s="334"/>
      <c r="XI23" s="334"/>
      <c r="XJ23" s="334"/>
      <c r="XK23" s="334"/>
      <c r="XL23" s="334"/>
      <c r="XM23" s="334"/>
      <c r="XN23" s="334"/>
      <c r="XO23" s="334"/>
      <c r="XP23" s="334"/>
      <c r="XQ23" s="334"/>
      <c r="XR23" s="334"/>
      <c r="XS23" s="334"/>
      <c r="XT23" s="334"/>
      <c r="XU23" s="334"/>
      <c r="XV23" s="334"/>
      <c r="XW23" s="334"/>
      <c r="XX23" s="334"/>
      <c r="XY23" s="334"/>
      <c r="XZ23" s="334"/>
      <c r="YA23" s="334"/>
      <c r="YB23" s="334"/>
      <c r="YC23" s="334"/>
      <c r="YD23" s="334"/>
      <c r="YE23" s="334"/>
      <c r="YF23" s="334"/>
      <c r="YG23" s="334"/>
      <c r="YH23" s="334"/>
      <c r="YI23" s="334"/>
      <c r="YJ23" s="334"/>
      <c r="YK23" s="334"/>
      <c r="YL23" s="334"/>
      <c r="YM23" s="334"/>
      <c r="YN23" s="334"/>
      <c r="YO23" s="334"/>
      <c r="YP23" s="334"/>
      <c r="YQ23" s="334"/>
      <c r="YR23" s="334"/>
      <c r="YS23" s="334"/>
      <c r="YT23" s="334"/>
      <c r="YU23" s="334"/>
      <c r="YV23" s="334"/>
      <c r="YW23" s="334"/>
      <c r="YX23" s="334"/>
      <c r="YY23" s="334"/>
      <c r="YZ23" s="334"/>
      <c r="ZA23" s="334"/>
      <c r="ZB23" s="334"/>
      <c r="ZC23" s="334"/>
      <c r="ZD23" s="334"/>
      <c r="ZE23" s="334"/>
      <c r="ZF23" s="334"/>
      <c r="ZG23" s="334"/>
      <c r="ZH23" s="334"/>
      <c r="ZI23" s="334"/>
      <c r="ZJ23" s="334"/>
      <c r="ZK23" s="334"/>
      <c r="ZL23" s="334"/>
      <c r="ZM23" s="334"/>
      <c r="ZN23" s="334"/>
      <c r="ZO23" s="334"/>
      <c r="ZP23" s="334"/>
      <c r="ZQ23" s="334"/>
      <c r="ZR23" s="334"/>
      <c r="ZS23" s="334"/>
      <c r="ZT23" s="334"/>
      <c r="ZU23" s="334"/>
      <c r="ZV23" s="334"/>
      <c r="ZW23" s="334"/>
      <c r="ZX23" s="334"/>
      <c r="ZY23" s="334"/>
      <c r="ZZ23" s="334"/>
      <c r="AAA23" s="334"/>
      <c r="AAB23" s="334"/>
      <c r="AAC23" s="334"/>
      <c r="AAD23" s="334"/>
      <c r="AAE23" s="334"/>
      <c r="AAF23" s="334"/>
      <c r="AAG23" s="334"/>
      <c r="AAH23" s="334"/>
      <c r="AAI23" s="334"/>
      <c r="AAJ23" s="334"/>
      <c r="AAK23" s="334"/>
      <c r="AAL23" s="334"/>
      <c r="AAM23" s="334"/>
      <c r="AAN23" s="334"/>
      <c r="AAO23" s="334"/>
      <c r="AAP23" s="334"/>
      <c r="AAQ23" s="334"/>
      <c r="AAR23" s="334"/>
      <c r="AAS23" s="334"/>
      <c r="AAT23" s="334"/>
      <c r="AAU23" s="334"/>
      <c r="AAV23" s="334"/>
      <c r="AAW23" s="334"/>
      <c r="AAX23" s="334"/>
      <c r="AAY23" s="334"/>
      <c r="AAZ23" s="334"/>
      <c r="ABA23" s="334"/>
      <c r="ABB23" s="334"/>
      <c r="ABC23" s="334"/>
      <c r="ABD23" s="334"/>
      <c r="ABE23" s="334"/>
      <c r="ABF23" s="334"/>
      <c r="ABG23" s="334"/>
      <c r="ABH23" s="334"/>
      <c r="ABI23" s="334"/>
      <c r="ABJ23" s="334"/>
      <c r="ABK23" s="334"/>
      <c r="ABL23" s="334"/>
      <c r="ABM23" s="334"/>
      <c r="ABN23" s="334"/>
      <c r="ABO23" s="334"/>
      <c r="ABP23" s="334"/>
      <c r="ABQ23" s="334"/>
      <c r="ABR23" s="334"/>
      <c r="ABS23" s="334"/>
      <c r="ABT23" s="334"/>
      <c r="ABU23" s="334"/>
      <c r="ABV23" s="334"/>
      <c r="ABW23" s="334"/>
      <c r="ABX23" s="334"/>
      <c r="ABY23" s="334"/>
      <c r="ABZ23" s="334"/>
      <c r="ACA23" s="334"/>
      <c r="ACB23" s="334"/>
      <c r="ACC23" s="334"/>
      <c r="ACD23" s="334"/>
      <c r="ACE23" s="334"/>
      <c r="ACF23" s="334"/>
      <c r="ACG23" s="334"/>
      <c r="ACH23" s="334"/>
      <c r="ACI23" s="334"/>
      <c r="ACJ23" s="334"/>
      <c r="ACK23" s="334"/>
      <c r="ACL23" s="334"/>
      <c r="ACM23" s="334"/>
      <c r="ACN23" s="334"/>
      <c r="ACO23" s="334"/>
      <c r="ACP23" s="334"/>
      <c r="ACQ23" s="334"/>
      <c r="ACR23" s="334"/>
      <c r="ACS23" s="334"/>
      <c r="ACT23" s="334"/>
      <c r="ACU23" s="334"/>
      <c r="ACV23" s="334"/>
      <c r="ACW23" s="334"/>
      <c r="ACX23" s="334"/>
      <c r="ACY23" s="334"/>
      <c r="ACZ23" s="334"/>
      <c r="ADA23" s="334"/>
      <c r="ADB23" s="334"/>
      <c r="ADC23" s="334"/>
      <c r="ADD23" s="334"/>
      <c r="ADE23" s="334"/>
      <c r="ADF23" s="334"/>
      <c r="ADG23" s="334"/>
      <c r="ADH23" s="334"/>
      <c r="ADI23" s="334"/>
      <c r="ADJ23" s="334"/>
      <c r="ADK23" s="334"/>
      <c r="ADL23" s="334"/>
      <c r="ADM23" s="334"/>
      <c r="ADN23" s="334"/>
      <c r="ADO23" s="334"/>
      <c r="ADP23" s="334"/>
      <c r="ADQ23" s="334"/>
      <c r="ADR23" s="334"/>
      <c r="ADS23" s="334"/>
      <c r="ADT23" s="334"/>
      <c r="ADU23" s="334"/>
      <c r="ADV23" s="334"/>
      <c r="ADW23" s="334"/>
      <c r="ADX23" s="334"/>
      <c r="ADY23" s="334"/>
      <c r="ADZ23" s="334"/>
      <c r="AEA23" s="334"/>
      <c r="AEB23" s="334"/>
      <c r="AEC23" s="334"/>
      <c r="AED23" s="334"/>
      <c r="AEE23" s="334"/>
      <c r="AEF23" s="334"/>
      <c r="AEG23" s="334"/>
      <c r="AEH23" s="334"/>
      <c r="AEI23" s="334"/>
      <c r="AEJ23" s="334"/>
      <c r="AEK23" s="334"/>
      <c r="AEL23" s="334"/>
      <c r="AEM23" s="334"/>
      <c r="AEN23" s="334"/>
      <c r="AEO23" s="334"/>
      <c r="AEP23" s="334"/>
      <c r="AEQ23" s="334"/>
      <c r="AER23" s="334"/>
      <c r="AES23" s="334"/>
      <c r="AET23" s="334"/>
      <c r="AEU23" s="334"/>
      <c r="AEV23" s="334"/>
      <c r="AEW23" s="334"/>
      <c r="AEX23" s="334"/>
      <c r="AEY23" s="334"/>
      <c r="AEZ23" s="334"/>
      <c r="AFA23" s="334"/>
      <c r="AFB23" s="334"/>
      <c r="AFC23" s="334"/>
      <c r="AFD23" s="334"/>
      <c r="AFE23" s="334"/>
      <c r="AFF23" s="334"/>
      <c r="AFG23" s="334"/>
      <c r="AFH23" s="334"/>
      <c r="AFI23" s="334"/>
      <c r="AFJ23" s="334"/>
      <c r="AFK23" s="334"/>
      <c r="AFL23" s="334"/>
      <c r="AFM23" s="334"/>
      <c r="AFN23" s="334"/>
      <c r="AFO23" s="334"/>
      <c r="AFP23" s="334"/>
      <c r="AFQ23" s="334"/>
      <c r="AFR23" s="334"/>
      <c r="AFS23" s="334"/>
      <c r="AFT23" s="334"/>
      <c r="AFU23" s="334"/>
      <c r="AFV23" s="334"/>
      <c r="AFW23" s="334"/>
      <c r="AFX23" s="334"/>
      <c r="AFY23" s="334"/>
      <c r="AFZ23" s="334"/>
      <c r="AGA23" s="334"/>
      <c r="AGB23" s="334"/>
      <c r="AGC23" s="334"/>
      <c r="AGD23" s="334"/>
      <c r="AGE23" s="334"/>
      <c r="AGF23" s="334"/>
      <c r="AGG23" s="334"/>
      <c r="AGH23" s="334"/>
      <c r="AGI23" s="334"/>
      <c r="AGJ23" s="334"/>
      <c r="AGK23" s="334"/>
      <c r="AGL23" s="334"/>
      <c r="AGM23" s="334"/>
      <c r="AGN23" s="334"/>
      <c r="AGO23" s="334"/>
      <c r="AGP23" s="334"/>
      <c r="AGQ23" s="334"/>
      <c r="AGR23" s="334"/>
      <c r="AGS23" s="334"/>
      <c r="AGT23" s="334"/>
      <c r="AGU23" s="334"/>
      <c r="AGV23" s="334"/>
      <c r="AGW23" s="334"/>
      <c r="AGX23" s="334"/>
      <c r="AGY23" s="334"/>
      <c r="AGZ23" s="334"/>
      <c r="AHA23" s="334"/>
      <c r="AHB23" s="334"/>
      <c r="AHC23" s="334"/>
      <c r="AHD23" s="334"/>
      <c r="AHE23" s="334"/>
      <c r="AHF23" s="334"/>
      <c r="AHG23" s="334"/>
      <c r="AHH23" s="334"/>
      <c r="AHI23" s="334"/>
      <c r="AHJ23" s="334"/>
      <c r="AHK23" s="334"/>
      <c r="AHL23" s="334"/>
      <c r="AHM23" s="334"/>
      <c r="AHN23" s="334"/>
      <c r="AHO23" s="334"/>
      <c r="AHP23" s="334"/>
      <c r="AHQ23" s="334"/>
      <c r="AHR23" s="334"/>
      <c r="AHS23" s="334"/>
      <c r="AHT23" s="334"/>
      <c r="AHU23" s="334"/>
      <c r="AHV23" s="334"/>
      <c r="AHW23" s="334"/>
      <c r="AHX23" s="334"/>
      <c r="AHY23" s="334"/>
      <c r="AHZ23" s="334"/>
      <c r="AIA23" s="334"/>
      <c r="AIB23" s="334"/>
      <c r="AIC23" s="334"/>
      <c r="AID23" s="334"/>
      <c r="AIE23" s="334"/>
      <c r="AIF23" s="334"/>
      <c r="AIG23" s="334"/>
      <c r="AIH23" s="334"/>
      <c r="AII23" s="334"/>
      <c r="AIJ23" s="334"/>
      <c r="AIK23" s="334"/>
      <c r="AIL23" s="334"/>
      <c r="AIM23" s="334"/>
      <c r="AIN23" s="334"/>
      <c r="AIO23" s="334"/>
      <c r="AIP23" s="334"/>
      <c r="AIQ23" s="334"/>
      <c r="AIR23" s="334"/>
      <c r="AIS23" s="334"/>
      <c r="AIT23" s="334"/>
      <c r="AIU23" s="334"/>
      <c r="AIV23" s="334"/>
      <c r="AIW23" s="334"/>
      <c r="AIX23" s="334"/>
      <c r="AIY23" s="334"/>
      <c r="AIZ23" s="334"/>
      <c r="AJA23" s="334"/>
      <c r="AJB23" s="334"/>
      <c r="AJC23" s="334"/>
      <c r="AJD23" s="334"/>
      <c r="AJE23" s="334"/>
      <c r="AJF23" s="334"/>
      <c r="AJG23" s="334"/>
      <c r="AJH23" s="334"/>
      <c r="AJI23" s="334"/>
      <c r="AJJ23" s="334"/>
      <c r="AJK23" s="334"/>
      <c r="AJL23" s="334"/>
      <c r="AJM23" s="334"/>
      <c r="AJN23" s="334"/>
      <c r="AJO23" s="334"/>
      <c r="AJP23" s="334"/>
      <c r="AJQ23" s="334"/>
      <c r="AJR23" s="334"/>
      <c r="AJS23" s="334"/>
      <c r="AJT23" s="334"/>
      <c r="AJU23" s="334"/>
      <c r="AJV23" s="334"/>
      <c r="AJW23" s="334"/>
      <c r="AJX23" s="334"/>
      <c r="AJY23" s="334"/>
      <c r="AJZ23" s="334"/>
      <c r="AKA23" s="334"/>
      <c r="AKB23" s="334"/>
      <c r="AKC23" s="334"/>
      <c r="AKD23" s="334"/>
      <c r="AKE23" s="334"/>
      <c r="AKF23" s="334"/>
      <c r="AKG23" s="334"/>
      <c r="AKH23" s="334"/>
      <c r="AKI23" s="334"/>
      <c r="AKJ23" s="334"/>
      <c r="AKK23" s="334"/>
      <c r="AKL23" s="334"/>
      <c r="AKM23" s="334"/>
      <c r="AKN23" s="334"/>
      <c r="AKO23" s="334"/>
      <c r="AKP23" s="334"/>
      <c r="AKQ23" s="334"/>
      <c r="AKR23" s="334"/>
      <c r="AKS23" s="334"/>
      <c r="AKT23" s="334"/>
      <c r="AKU23" s="334"/>
      <c r="AKV23" s="334"/>
      <c r="AKW23" s="334"/>
      <c r="AKX23" s="334"/>
      <c r="AKY23" s="334"/>
      <c r="AKZ23" s="334"/>
      <c r="ALA23" s="334"/>
      <c r="ALB23" s="334"/>
      <c r="ALC23" s="334"/>
      <c r="ALD23" s="334"/>
      <c r="ALE23" s="334"/>
      <c r="ALF23" s="334"/>
      <c r="ALG23" s="334"/>
      <c r="ALH23" s="334"/>
      <c r="ALI23" s="334"/>
      <c r="ALJ23" s="334"/>
      <c r="ALK23" s="334"/>
      <c r="ALL23" s="334"/>
      <c r="ALM23" s="334"/>
      <c r="ALN23" s="334"/>
      <c r="ALO23" s="334"/>
      <c r="ALP23" s="334"/>
      <c r="ALQ23" s="334"/>
      <c r="ALR23" s="334"/>
      <c r="ALS23" s="334"/>
      <c r="ALT23" s="334"/>
      <c r="ALU23" s="334"/>
      <c r="ALV23" s="334"/>
      <c r="ALW23" s="334"/>
      <c r="ALX23" s="334"/>
      <c r="ALY23" s="334"/>
      <c r="ALZ23" s="334"/>
      <c r="AMA23" s="334"/>
      <c r="AMB23" s="334"/>
      <c r="AMC23" s="334"/>
      <c r="AMD23" s="334"/>
      <c r="AME23" s="334"/>
      <c r="AMF23" s="334"/>
      <c r="AMG23" s="334"/>
      <c r="AMH23" s="334"/>
      <c r="AMI23" s="334"/>
      <c r="AMJ23" s="334"/>
      <c r="AMK23" s="334"/>
      <c r="AML23" s="334"/>
      <c r="AMM23" s="334"/>
      <c r="AMN23" s="334"/>
      <c r="AMO23" s="334"/>
      <c r="AMP23" s="334"/>
      <c r="AMQ23" s="334"/>
      <c r="AMR23" s="334"/>
      <c r="AMS23" s="334"/>
      <c r="AMT23" s="334"/>
      <c r="AMU23" s="334"/>
      <c r="AMV23" s="334"/>
      <c r="AMW23" s="334"/>
      <c r="AMX23" s="334"/>
      <c r="AMY23" s="334"/>
      <c r="AMZ23" s="334"/>
    </row>
    <row r="24" spans="1:1040" s="333" customFormat="1" ht="13.2" x14ac:dyDescent="0.25">
      <c r="A24" s="334"/>
      <c r="B24" s="334"/>
      <c r="C24" s="334"/>
      <c r="D24" s="334"/>
      <c r="E24" s="334"/>
      <c r="F24" s="334"/>
      <c r="G24" s="334"/>
      <c r="H24" s="334"/>
      <c r="I24" s="334"/>
      <c r="J24" s="334"/>
      <c r="K24" s="334"/>
      <c r="L24" s="334"/>
      <c r="M24" s="343"/>
      <c r="N24" s="343"/>
      <c r="O24" s="353"/>
      <c r="P24" s="353"/>
      <c r="Q24" s="353"/>
      <c r="R24" s="343"/>
      <c r="S24" s="343"/>
      <c r="T24" s="343"/>
      <c r="U24" s="343"/>
      <c r="V24" s="343"/>
      <c r="W24" s="343"/>
      <c r="X24" s="343"/>
      <c r="Z24" s="335"/>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4"/>
      <c r="EJ24" s="334"/>
      <c r="EK24" s="334"/>
      <c r="EL24" s="334"/>
      <c r="EM24" s="334"/>
      <c r="EN24" s="334"/>
      <c r="EO24" s="334"/>
      <c r="EP24" s="334"/>
      <c r="EQ24" s="334"/>
      <c r="ER24" s="334"/>
      <c r="ES24" s="334"/>
      <c r="ET24" s="334"/>
      <c r="EU24" s="334"/>
      <c r="EV24" s="334"/>
      <c r="EW24" s="334"/>
      <c r="EX24" s="334"/>
      <c r="EY24" s="334"/>
      <c r="EZ24" s="334"/>
      <c r="FA24" s="334"/>
      <c r="FB24" s="334"/>
      <c r="FC24" s="334"/>
      <c r="FD24" s="334"/>
      <c r="FE24" s="334"/>
      <c r="FF24" s="334"/>
      <c r="FG24" s="334"/>
      <c r="FH24" s="334"/>
      <c r="FI24" s="334"/>
      <c r="FJ24" s="334"/>
      <c r="FK24" s="334"/>
      <c r="FL24" s="334"/>
      <c r="FM24" s="334"/>
      <c r="FN24" s="334"/>
      <c r="FO24" s="334"/>
      <c r="FP24" s="334"/>
      <c r="FQ24" s="334"/>
      <c r="FR24" s="334"/>
      <c r="FS24" s="334"/>
      <c r="FT24" s="334"/>
      <c r="FU24" s="334"/>
      <c r="FV24" s="334"/>
      <c r="FW24" s="334"/>
      <c r="FX24" s="334"/>
      <c r="FY24" s="334"/>
      <c r="FZ24" s="334"/>
      <c r="GA24" s="334"/>
      <c r="GB24" s="334"/>
      <c r="GC24" s="334"/>
      <c r="GD24" s="334"/>
      <c r="GE24" s="334"/>
      <c r="GF24" s="334"/>
      <c r="GG24" s="334"/>
      <c r="GH24" s="334"/>
      <c r="GI24" s="334"/>
      <c r="GJ24" s="334"/>
      <c r="GK24" s="334"/>
      <c r="GL24" s="334"/>
      <c r="GM24" s="334"/>
      <c r="GN24" s="334"/>
      <c r="GO24" s="334"/>
      <c r="GP24" s="334"/>
      <c r="GQ24" s="334"/>
      <c r="GR24" s="334"/>
      <c r="GS24" s="334"/>
      <c r="GT24" s="334"/>
      <c r="GU24" s="334"/>
      <c r="GV24" s="334"/>
      <c r="GW24" s="334"/>
      <c r="GX24" s="334"/>
      <c r="GY24" s="334"/>
      <c r="GZ24" s="334"/>
      <c r="HA24" s="334"/>
      <c r="HB24" s="334"/>
      <c r="HC24" s="334"/>
      <c r="HD24" s="334"/>
      <c r="HE24" s="334"/>
      <c r="HF24" s="334"/>
      <c r="HG24" s="334"/>
      <c r="HH24" s="334"/>
      <c r="HI24" s="334"/>
      <c r="HJ24" s="334"/>
      <c r="HK24" s="334"/>
      <c r="HL24" s="334"/>
      <c r="HM24" s="334"/>
      <c r="HN24" s="334"/>
      <c r="HO24" s="334"/>
      <c r="HP24" s="334"/>
      <c r="HQ24" s="334"/>
      <c r="HR24" s="334"/>
      <c r="HS24" s="334"/>
      <c r="HT24" s="334"/>
      <c r="HU24" s="334"/>
      <c r="HV24" s="334"/>
      <c r="HW24" s="334"/>
      <c r="HX24" s="334"/>
      <c r="HY24" s="334"/>
      <c r="HZ24" s="334"/>
      <c r="IA24" s="334"/>
      <c r="IB24" s="334"/>
      <c r="IC24" s="334"/>
      <c r="ID24" s="334"/>
      <c r="IE24" s="334"/>
      <c r="IF24" s="334"/>
      <c r="IG24" s="334"/>
      <c r="IH24" s="334"/>
      <c r="II24" s="334"/>
      <c r="IJ24" s="334"/>
      <c r="IK24" s="334"/>
      <c r="IL24" s="334"/>
      <c r="IM24" s="334"/>
      <c r="IN24" s="334"/>
      <c r="IO24" s="334"/>
      <c r="IP24" s="334"/>
      <c r="IQ24" s="334"/>
      <c r="IR24" s="334"/>
      <c r="IS24" s="334"/>
      <c r="IT24" s="334"/>
      <c r="IU24" s="334"/>
      <c r="IV24" s="334"/>
      <c r="IW24" s="334"/>
      <c r="IX24" s="334"/>
      <c r="IY24" s="334"/>
      <c r="IZ24" s="334"/>
      <c r="JA24" s="334"/>
      <c r="JB24" s="334"/>
      <c r="JC24" s="334"/>
      <c r="JD24" s="334"/>
      <c r="JE24" s="334"/>
      <c r="JF24" s="334"/>
      <c r="JG24" s="334"/>
      <c r="JH24" s="334"/>
      <c r="JI24" s="334"/>
      <c r="JJ24" s="334"/>
      <c r="JK24" s="334"/>
      <c r="JL24" s="334"/>
      <c r="JM24" s="334"/>
      <c r="JN24" s="334"/>
      <c r="JO24" s="334"/>
      <c r="JP24" s="334"/>
      <c r="JQ24" s="334"/>
      <c r="JR24" s="334"/>
      <c r="JS24" s="334"/>
      <c r="JT24" s="334"/>
      <c r="JU24" s="334"/>
      <c r="JV24" s="334"/>
      <c r="JW24" s="334"/>
      <c r="JX24" s="334"/>
      <c r="JY24" s="334"/>
      <c r="JZ24" s="334"/>
      <c r="KA24" s="334"/>
      <c r="KB24" s="334"/>
      <c r="KC24" s="334"/>
      <c r="KD24" s="334"/>
      <c r="KE24" s="334"/>
      <c r="KF24" s="334"/>
      <c r="KG24" s="334"/>
      <c r="KH24" s="334"/>
      <c r="KI24" s="334"/>
      <c r="KJ24" s="334"/>
      <c r="KK24" s="334"/>
      <c r="KL24" s="334"/>
      <c r="KM24" s="334"/>
      <c r="KN24" s="334"/>
      <c r="KO24" s="334"/>
      <c r="KP24" s="334"/>
      <c r="KQ24" s="334"/>
      <c r="KR24" s="334"/>
      <c r="KS24" s="334"/>
      <c r="KT24" s="334"/>
      <c r="KU24" s="334"/>
      <c r="KV24" s="334"/>
      <c r="KW24" s="334"/>
      <c r="KX24" s="334"/>
      <c r="KY24" s="334"/>
      <c r="KZ24" s="334"/>
      <c r="LA24" s="334"/>
      <c r="LB24" s="334"/>
      <c r="LC24" s="334"/>
      <c r="LD24" s="334"/>
      <c r="LE24" s="334"/>
      <c r="LF24" s="334"/>
      <c r="LG24" s="334"/>
      <c r="LH24" s="334"/>
      <c r="LI24" s="334"/>
      <c r="LJ24" s="334"/>
      <c r="LK24" s="334"/>
      <c r="LL24" s="334"/>
      <c r="LM24" s="334"/>
      <c r="LN24" s="334"/>
      <c r="LO24" s="334"/>
      <c r="LP24" s="334"/>
      <c r="LQ24" s="334"/>
      <c r="LR24" s="334"/>
      <c r="LS24" s="334"/>
      <c r="LT24" s="334"/>
      <c r="LU24" s="334"/>
      <c r="LV24" s="334"/>
      <c r="LW24" s="334"/>
      <c r="LX24" s="334"/>
      <c r="LY24" s="334"/>
      <c r="LZ24" s="334"/>
      <c r="MA24" s="334"/>
      <c r="MB24" s="334"/>
      <c r="MC24" s="334"/>
      <c r="MD24" s="334"/>
      <c r="ME24" s="334"/>
      <c r="MF24" s="334"/>
      <c r="MG24" s="334"/>
      <c r="MH24" s="334"/>
      <c r="MI24" s="334"/>
      <c r="MJ24" s="334"/>
      <c r="MK24" s="334"/>
      <c r="ML24" s="334"/>
      <c r="MM24" s="334"/>
      <c r="MN24" s="334"/>
      <c r="MO24" s="334"/>
      <c r="MP24" s="334"/>
      <c r="MQ24" s="334"/>
      <c r="MR24" s="334"/>
      <c r="MS24" s="334"/>
      <c r="MT24" s="334"/>
      <c r="MU24" s="334"/>
      <c r="MV24" s="334"/>
      <c r="MW24" s="334"/>
      <c r="MX24" s="334"/>
      <c r="MY24" s="334"/>
      <c r="MZ24" s="334"/>
      <c r="NA24" s="334"/>
      <c r="NB24" s="334"/>
      <c r="NC24" s="334"/>
      <c r="ND24" s="334"/>
      <c r="NE24" s="334"/>
      <c r="NF24" s="334"/>
      <c r="NG24" s="334"/>
      <c r="NH24" s="334"/>
      <c r="NI24" s="334"/>
      <c r="NJ24" s="334"/>
      <c r="NK24" s="334"/>
      <c r="NL24" s="334"/>
      <c r="NM24" s="334"/>
      <c r="NN24" s="334"/>
      <c r="NO24" s="334"/>
      <c r="NP24" s="334"/>
      <c r="NQ24" s="334"/>
      <c r="NR24" s="334"/>
      <c r="NS24" s="334"/>
      <c r="NT24" s="334"/>
      <c r="NU24" s="334"/>
      <c r="NV24" s="334"/>
      <c r="NW24" s="334"/>
      <c r="NX24" s="334"/>
      <c r="NY24" s="334"/>
      <c r="NZ24" s="334"/>
      <c r="OA24" s="334"/>
      <c r="OB24" s="334"/>
      <c r="OC24" s="334"/>
      <c r="OD24" s="334"/>
      <c r="OE24" s="334"/>
      <c r="OF24" s="334"/>
      <c r="OG24" s="334"/>
      <c r="OH24" s="334"/>
      <c r="OI24" s="334"/>
      <c r="OJ24" s="334"/>
      <c r="OK24" s="334"/>
      <c r="OL24" s="334"/>
      <c r="OM24" s="334"/>
      <c r="ON24" s="334"/>
      <c r="OO24" s="334"/>
      <c r="OP24" s="334"/>
      <c r="OQ24" s="334"/>
      <c r="OR24" s="334"/>
      <c r="OS24" s="334"/>
      <c r="OT24" s="334"/>
      <c r="OU24" s="334"/>
      <c r="OV24" s="334"/>
      <c r="OW24" s="334"/>
      <c r="OX24" s="334"/>
      <c r="OY24" s="334"/>
      <c r="OZ24" s="334"/>
      <c r="PA24" s="334"/>
      <c r="PB24" s="334"/>
      <c r="PC24" s="334"/>
      <c r="PD24" s="334"/>
      <c r="PE24" s="334"/>
      <c r="PF24" s="334"/>
      <c r="PG24" s="334"/>
      <c r="PH24" s="334"/>
      <c r="PI24" s="334"/>
      <c r="PJ24" s="334"/>
      <c r="PK24" s="334"/>
      <c r="PL24" s="334"/>
      <c r="PM24" s="334"/>
      <c r="PN24" s="334"/>
      <c r="PO24" s="334"/>
      <c r="PP24" s="334"/>
      <c r="PQ24" s="334"/>
      <c r="PR24" s="334"/>
      <c r="PS24" s="334"/>
      <c r="PT24" s="334"/>
      <c r="PU24" s="334"/>
      <c r="PV24" s="334"/>
      <c r="PW24" s="334"/>
      <c r="PX24" s="334"/>
      <c r="PY24" s="334"/>
      <c r="PZ24" s="334"/>
      <c r="QA24" s="334"/>
      <c r="QB24" s="334"/>
      <c r="QC24" s="334"/>
      <c r="QD24" s="334"/>
      <c r="QE24" s="334"/>
      <c r="QF24" s="334"/>
      <c r="QG24" s="334"/>
      <c r="QH24" s="334"/>
      <c r="QI24" s="334"/>
      <c r="QJ24" s="334"/>
      <c r="QK24" s="334"/>
      <c r="QL24" s="334"/>
      <c r="QM24" s="334"/>
      <c r="QN24" s="334"/>
      <c r="QO24" s="334"/>
      <c r="QP24" s="334"/>
      <c r="QQ24" s="334"/>
      <c r="QR24" s="334"/>
      <c r="QS24" s="334"/>
      <c r="QT24" s="334"/>
      <c r="QU24" s="334"/>
      <c r="QV24" s="334"/>
      <c r="QW24" s="334"/>
      <c r="QX24" s="334"/>
      <c r="QY24" s="334"/>
      <c r="QZ24" s="334"/>
      <c r="RA24" s="334"/>
      <c r="RB24" s="334"/>
      <c r="RC24" s="334"/>
      <c r="RD24" s="334"/>
      <c r="RE24" s="334"/>
      <c r="RF24" s="334"/>
      <c r="RG24" s="334"/>
      <c r="RH24" s="334"/>
      <c r="RI24" s="334"/>
      <c r="RJ24" s="334"/>
      <c r="RK24" s="334"/>
      <c r="RL24" s="334"/>
      <c r="RM24" s="334"/>
      <c r="RN24" s="334"/>
      <c r="RO24" s="334"/>
      <c r="RP24" s="334"/>
      <c r="RQ24" s="334"/>
      <c r="RR24" s="334"/>
      <c r="RS24" s="334"/>
      <c r="RT24" s="334"/>
      <c r="RU24" s="334"/>
      <c r="RV24" s="334"/>
      <c r="RW24" s="334"/>
      <c r="RX24" s="334"/>
      <c r="RY24" s="334"/>
      <c r="RZ24" s="334"/>
      <c r="SA24" s="334"/>
      <c r="SB24" s="334"/>
      <c r="SC24" s="334"/>
      <c r="SD24" s="334"/>
      <c r="SE24" s="334"/>
      <c r="SF24" s="334"/>
      <c r="SG24" s="334"/>
      <c r="SH24" s="334"/>
      <c r="SI24" s="334"/>
      <c r="SJ24" s="334"/>
      <c r="SK24" s="334"/>
      <c r="SL24" s="334"/>
      <c r="SM24" s="334"/>
      <c r="SN24" s="334"/>
      <c r="SO24" s="334"/>
      <c r="SP24" s="334"/>
      <c r="SQ24" s="334"/>
      <c r="SR24" s="334"/>
      <c r="SS24" s="334"/>
      <c r="ST24" s="334"/>
      <c r="SU24" s="334"/>
      <c r="SV24" s="334"/>
      <c r="SW24" s="334"/>
      <c r="SX24" s="334"/>
      <c r="SY24" s="334"/>
      <c r="SZ24" s="334"/>
      <c r="TA24" s="334"/>
      <c r="TB24" s="334"/>
      <c r="TC24" s="334"/>
      <c r="TD24" s="334"/>
      <c r="TE24" s="334"/>
      <c r="TF24" s="334"/>
      <c r="TG24" s="334"/>
      <c r="TH24" s="334"/>
      <c r="TI24" s="334"/>
      <c r="TJ24" s="334"/>
      <c r="TK24" s="334"/>
      <c r="TL24" s="334"/>
      <c r="TM24" s="334"/>
      <c r="TN24" s="334"/>
      <c r="TO24" s="334"/>
      <c r="TP24" s="334"/>
      <c r="TQ24" s="334"/>
      <c r="TR24" s="334"/>
      <c r="TS24" s="334"/>
      <c r="TT24" s="334"/>
      <c r="TU24" s="334"/>
      <c r="TV24" s="334"/>
      <c r="TW24" s="334"/>
      <c r="TX24" s="334"/>
      <c r="TY24" s="334"/>
      <c r="TZ24" s="334"/>
      <c r="UA24" s="334"/>
      <c r="UB24" s="334"/>
      <c r="UC24" s="334"/>
      <c r="UD24" s="334"/>
      <c r="UE24" s="334"/>
      <c r="UF24" s="334"/>
      <c r="UG24" s="334"/>
      <c r="UH24" s="334"/>
      <c r="UI24" s="334"/>
      <c r="UJ24" s="334"/>
      <c r="UK24" s="334"/>
      <c r="UL24" s="334"/>
      <c r="UM24" s="334"/>
      <c r="UN24" s="334"/>
      <c r="UO24" s="334"/>
      <c r="UP24" s="334"/>
      <c r="UQ24" s="334"/>
      <c r="UR24" s="334"/>
      <c r="US24" s="334"/>
      <c r="UT24" s="334"/>
      <c r="UU24" s="334"/>
      <c r="UV24" s="334"/>
      <c r="UW24" s="334"/>
      <c r="UX24" s="334"/>
      <c r="UY24" s="334"/>
      <c r="UZ24" s="334"/>
      <c r="VA24" s="334"/>
      <c r="VB24" s="334"/>
      <c r="VC24" s="334"/>
      <c r="VD24" s="334"/>
      <c r="VE24" s="334"/>
      <c r="VF24" s="334"/>
      <c r="VG24" s="334"/>
      <c r="VH24" s="334"/>
      <c r="VI24" s="334"/>
      <c r="VJ24" s="334"/>
      <c r="VK24" s="334"/>
      <c r="VL24" s="334"/>
      <c r="VM24" s="334"/>
      <c r="VN24" s="334"/>
      <c r="VO24" s="334"/>
      <c r="VP24" s="334"/>
      <c r="VQ24" s="334"/>
      <c r="VR24" s="334"/>
      <c r="VS24" s="334"/>
      <c r="VT24" s="334"/>
      <c r="VU24" s="334"/>
      <c r="VV24" s="334"/>
      <c r="VW24" s="334"/>
      <c r="VX24" s="334"/>
      <c r="VY24" s="334"/>
      <c r="VZ24" s="334"/>
      <c r="WA24" s="334"/>
      <c r="WB24" s="334"/>
      <c r="WC24" s="334"/>
      <c r="WD24" s="334"/>
      <c r="WE24" s="334"/>
      <c r="WF24" s="334"/>
      <c r="WG24" s="334"/>
      <c r="WH24" s="334"/>
      <c r="WI24" s="334"/>
      <c r="WJ24" s="334"/>
      <c r="WK24" s="334"/>
      <c r="WL24" s="334"/>
      <c r="WM24" s="334"/>
      <c r="WN24" s="334"/>
      <c r="WO24" s="334"/>
      <c r="WP24" s="334"/>
      <c r="WQ24" s="334"/>
      <c r="WR24" s="334"/>
      <c r="WS24" s="334"/>
      <c r="WT24" s="334"/>
      <c r="WU24" s="334"/>
      <c r="WV24" s="334"/>
      <c r="WW24" s="334"/>
      <c r="WX24" s="334"/>
      <c r="WY24" s="334"/>
      <c r="WZ24" s="334"/>
      <c r="XA24" s="334"/>
      <c r="XB24" s="334"/>
      <c r="XC24" s="334"/>
      <c r="XD24" s="334"/>
      <c r="XE24" s="334"/>
      <c r="XF24" s="334"/>
      <c r="XG24" s="334"/>
      <c r="XH24" s="334"/>
      <c r="XI24" s="334"/>
      <c r="XJ24" s="334"/>
      <c r="XK24" s="334"/>
      <c r="XL24" s="334"/>
      <c r="XM24" s="334"/>
      <c r="XN24" s="334"/>
      <c r="XO24" s="334"/>
      <c r="XP24" s="334"/>
      <c r="XQ24" s="334"/>
      <c r="XR24" s="334"/>
      <c r="XS24" s="334"/>
      <c r="XT24" s="334"/>
      <c r="XU24" s="334"/>
      <c r="XV24" s="334"/>
      <c r="XW24" s="334"/>
      <c r="XX24" s="334"/>
      <c r="XY24" s="334"/>
      <c r="XZ24" s="334"/>
      <c r="YA24" s="334"/>
      <c r="YB24" s="334"/>
      <c r="YC24" s="334"/>
      <c r="YD24" s="334"/>
      <c r="YE24" s="334"/>
      <c r="YF24" s="334"/>
      <c r="YG24" s="334"/>
      <c r="YH24" s="334"/>
      <c r="YI24" s="334"/>
      <c r="YJ24" s="334"/>
      <c r="YK24" s="334"/>
      <c r="YL24" s="334"/>
      <c r="YM24" s="334"/>
      <c r="YN24" s="334"/>
      <c r="YO24" s="334"/>
      <c r="YP24" s="334"/>
      <c r="YQ24" s="334"/>
      <c r="YR24" s="334"/>
      <c r="YS24" s="334"/>
      <c r="YT24" s="334"/>
      <c r="YU24" s="334"/>
      <c r="YV24" s="334"/>
      <c r="YW24" s="334"/>
      <c r="YX24" s="334"/>
      <c r="YY24" s="334"/>
      <c r="YZ24" s="334"/>
      <c r="ZA24" s="334"/>
      <c r="ZB24" s="334"/>
      <c r="ZC24" s="334"/>
      <c r="ZD24" s="334"/>
      <c r="ZE24" s="334"/>
      <c r="ZF24" s="334"/>
      <c r="ZG24" s="334"/>
      <c r="ZH24" s="334"/>
      <c r="ZI24" s="334"/>
      <c r="ZJ24" s="334"/>
      <c r="ZK24" s="334"/>
      <c r="ZL24" s="334"/>
      <c r="ZM24" s="334"/>
      <c r="ZN24" s="334"/>
      <c r="ZO24" s="334"/>
      <c r="ZP24" s="334"/>
      <c r="ZQ24" s="334"/>
      <c r="ZR24" s="334"/>
      <c r="ZS24" s="334"/>
      <c r="ZT24" s="334"/>
      <c r="ZU24" s="334"/>
      <c r="ZV24" s="334"/>
      <c r="ZW24" s="334"/>
      <c r="ZX24" s="334"/>
      <c r="ZY24" s="334"/>
      <c r="ZZ24" s="334"/>
      <c r="AAA24" s="334"/>
      <c r="AAB24" s="334"/>
      <c r="AAC24" s="334"/>
      <c r="AAD24" s="334"/>
      <c r="AAE24" s="334"/>
      <c r="AAF24" s="334"/>
      <c r="AAG24" s="334"/>
      <c r="AAH24" s="334"/>
      <c r="AAI24" s="334"/>
      <c r="AAJ24" s="334"/>
      <c r="AAK24" s="334"/>
      <c r="AAL24" s="334"/>
      <c r="AAM24" s="334"/>
      <c r="AAN24" s="334"/>
      <c r="AAO24" s="334"/>
      <c r="AAP24" s="334"/>
      <c r="AAQ24" s="334"/>
      <c r="AAR24" s="334"/>
      <c r="AAS24" s="334"/>
      <c r="AAT24" s="334"/>
      <c r="AAU24" s="334"/>
      <c r="AAV24" s="334"/>
      <c r="AAW24" s="334"/>
      <c r="AAX24" s="334"/>
      <c r="AAY24" s="334"/>
      <c r="AAZ24" s="334"/>
      <c r="ABA24" s="334"/>
      <c r="ABB24" s="334"/>
      <c r="ABC24" s="334"/>
      <c r="ABD24" s="334"/>
      <c r="ABE24" s="334"/>
      <c r="ABF24" s="334"/>
      <c r="ABG24" s="334"/>
      <c r="ABH24" s="334"/>
      <c r="ABI24" s="334"/>
      <c r="ABJ24" s="334"/>
      <c r="ABK24" s="334"/>
      <c r="ABL24" s="334"/>
      <c r="ABM24" s="334"/>
      <c r="ABN24" s="334"/>
      <c r="ABO24" s="334"/>
      <c r="ABP24" s="334"/>
      <c r="ABQ24" s="334"/>
      <c r="ABR24" s="334"/>
      <c r="ABS24" s="334"/>
      <c r="ABT24" s="334"/>
      <c r="ABU24" s="334"/>
      <c r="ABV24" s="334"/>
      <c r="ABW24" s="334"/>
      <c r="ABX24" s="334"/>
      <c r="ABY24" s="334"/>
      <c r="ABZ24" s="334"/>
      <c r="ACA24" s="334"/>
      <c r="ACB24" s="334"/>
      <c r="ACC24" s="334"/>
      <c r="ACD24" s="334"/>
      <c r="ACE24" s="334"/>
      <c r="ACF24" s="334"/>
      <c r="ACG24" s="334"/>
      <c r="ACH24" s="334"/>
      <c r="ACI24" s="334"/>
      <c r="ACJ24" s="334"/>
      <c r="ACK24" s="334"/>
      <c r="ACL24" s="334"/>
      <c r="ACM24" s="334"/>
      <c r="ACN24" s="334"/>
      <c r="ACO24" s="334"/>
      <c r="ACP24" s="334"/>
      <c r="ACQ24" s="334"/>
      <c r="ACR24" s="334"/>
      <c r="ACS24" s="334"/>
      <c r="ACT24" s="334"/>
      <c r="ACU24" s="334"/>
      <c r="ACV24" s="334"/>
      <c r="ACW24" s="334"/>
      <c r="ACX24" s="334"/>
      <c r="ACY24" s="334"/>
      <c r="ACZ24" s="334"/>
      <c r="ADA24" s="334"/>
      <c r="ADB24" s="334"/>
      <c r="ADC24" s="334"/>
      <c r="ADD24" s="334"/>
      <c r="ADE24" s="334"/>
      <c r="ADF24" s="334"/>
      <c r="ADG24" s="334"/>
      <c r="ADH24" s="334"/>
      <c r="ADI24" s="334"/>
      <c r="ADJ24" s="334"/>
      <c r="ADK24" s="334"/>
      <c r="ADL24" s="334"/>
      <c r="ADM24" s="334"/>
      <c r="ADN24" s="334"/>
      <c r="ADO24" s="334"/>
      <c r="ADP24" s="334"/>
      <c r="ADQ24" s="334"/>
      <c r="ADR24" s="334"/>
      <c r="ADS24" s="334"/>
      <c r="ADT24" s="334"/>
      <c r="ADU24" s="334"/>
      <c r="ADV24" s="334"/>
      <c r="ADW24" s="334"/>
      <c r="ADX24" s="334"/>
      <c r="ADY24" s="334"/>
      <c r="ADZ24" s="334"/>
      <c r="AEA24" s="334"/>
      <c r="AEB24" s="334"/>
      <c r="AEC24" s="334"/>
      <c r="AED24" s="334"/>
      <c r="AEE24" s="334"/>
      <c r="AEF24" s="334"/>
      <c r="AEG24" s="334"/>
      <c r="AEH24" s="334"/>
      <c r="AEI24" s="334"/>
      <c r="AEJ24" s="334"/>
      <c r="AEK24" s="334"/>
      <c r="AEL24" s="334"/>
      <c r="AEM24" s="334"/>
      <c r="AEN24" s="334"/>
      <c r="AEO24" s="334"/>
      <c r="AEP24" s="334"/>
      <c r="AEQ24" s="334"/>
      <c r="AER24" s="334"/>
      <c r="AES24" s="334"/>
      <c r="AET24" s="334"/>
      <c r="AEU24" s="334"/>
      <c r="AEV24" s="334"/>
      <c r="AEW24" s="334"/>
      <c r="AEX24" s="334"/>
      <c r="AEY24" s="334"/>
      <c r="AEZ24" s="334"/>
      <c r="AFA24" s="334"/>
      <c r="AFB24" s="334"/>
      <c r="AFC24" s="334"/>
      <c r="AFD24" s="334"/>
      <c r="AFE24" s="334"/>
      <c r="AFF24" s="334"/>
      <c r="AFG24" s="334"/>
      <c r="AFH24" s="334"/>
      <c r="AFI24" s="334"/>
      <c r="AFJ24" s="334"/>
      <c r="AFK24" s="334"/>
      <c r="AFL24" s="334"/>
      <c r="AFM24" s="334"/>
      <c r="AFN24" s="334"/>
      <c r="AFO24" s="334"/>
      <c r="AFP24" s="334"/>
      <c r="AFQ24" s="334"/>
      <c r="AFR24" s="334"/>
      <c r="AFS24" s="334"/>
      <c r="AFT24" s="334"/>
      <c r="AFU24" s="334"/>
      <c r="AFV24" s="334"/>
      <c r="AFW24" s="334"/>
      <c r="AFX24" s="334"/>
      <c r="AFY24" s="334"/>
      <c r="AFZ24" s="334"/>
      <c r="AGA24" s="334"/>
      <c r="AGB24" s="334"/>
      <c r="AGC24" s="334"/>
      <c r="AGD24" s="334"/>
      <c r="AGE24" s="334"/>
      <c r="AGF24" s="334"/>
      <c r="AGG24" s="334"/>
      <c r="AGH24" s="334"/>
      <c r="AGI24" s="334"/>
      <c r="AGJ24" s="334"/>
      <c r="AGK24" s="334"/>
      <c r="AGL24" s="334"/>
      <c r="AGM24" s="334"/>
      <c r="AGN24" s="334"/>
      <c r="AGO24" s="334"/>
      <c r="AGP24" s="334"/>
      <c r="AGQ24" s="334"/>
      <c r="AGR24" s="334"/>
      <c r="AGS24" s="334"/>
      <c r="AGT24" s="334"/>
      <c r="AGU24" s="334"/>
      <c r="AGV24" s="334"/>
      <c r="AGW24" s="334"/>
      <c r="AGX24" s="334"/>
      <c r="AGY24" s="334"/>
      <c r="AGZ24" s="334"/>
      <c r="AHA24" s="334"/>
      <c r="AHB24" s="334"/>
      <c r="AHC24" s="334"/>
      <c r="AHD24" s="334"/>
      <c r="AHE24" s="334"/>
      <c r="AHF24" s="334"/>
      <c r="AHG24" s="334"/>
      <c r="AHH24" s="334"/>
      <c r="AHI24" s="334"/>
      <c r="AHJ24" s="334"/>
      <c r="AHK24" s="334"/>
      <c r="AHL24" s="334"/>
      <c r="AHM24" s="334"/>
      <c r="AHN24" s="334"/>
      <c r="AHO24" s="334"/>
      <c r="AHP24" s="334"/>
      <c r="AHQ24" s="334"/>
      <c r="AHR24" s="334"/>
      <c r="AHS24" s="334"/>
      <c r="AHT24" s="334"/>
      <c r="AHU24" s="334"/>
      <c r="AHV24" s="334"/>
      <c r="AHW24" s="334"/>
      <c r="AHX24" s="334"/>
      <c r="AHY24" s="334"/>
      <c r="AHZ24" s="334"/>
      <c r="AIA24" s="334"/>
      <c r="AIB24" s="334"/>
      <c r="AIC24" s="334"/>
      <c r="AID24" s="334"/>
      <c r="AIE24" s="334"/>
      <c r="AIF24" s="334"/>
      <c r="AIG24" s="334"/>
      <c r="AIH24" s="334"/>
      <c r="AII24" s="334"/>
      <c r="AIJ24" s="334"/>
      <c r="AIK24" s="334"/>
      <c r="AIL24" s="334"/>
      <c r="AIM24" s="334"/>
      <c r="AIN24" s="334"/>
      <c r="AIO24" s="334"/>
      <c r="AIP24" s="334"/>
      <c r="AIQ24" s="334"/>
      <c r="AIR24" s="334"/>
      <c r="AIS24" s="334"/>
      <c r="AIT24" s="334"/>
      <c r="AIU24" s="334"/>
      <c r="AIV24" s="334"/>
      <c r="AIW24" s="334"/>
      <c r="AIX24" s="334"/>
      <c r="AIY24" s="334"/>
      <c r="AIZ24" s="334"/>
      <c r="AJA24" s="334"/>
      <c r="AJB24" s="334"/>
      <c r="AJC24" s="334"/>
      <c r="AJD24" s="334"/>
      <c r="AJE24" s="334"/>
      <c r="AJF24" s="334"/>
      <c r="AJG24" s="334"/>
      <c r="AJH24" s="334"/>
      <c r="AJI24" s="334"/>
      <c r="AJJ24" s="334"/>
      <c r="AJK24" s="334"/>
      <c r="AJL24" s="334"/>
      <c r="AJM24" s="334"/>
      <c r="AJN24" s="334"/>
      <c r="AJO24" s="334"/>
      <c r="AJP24" s="334"/>
      <c r="AJQ24" s="334"/>
      <c r="AJR24" s="334"/>
      <c r="AJS24" s="334"/>
      <c r="AJT24" s="334"/>
      <c r="AJU24" s="334"/>
      <c r="AJV24" s="334"/>
      <c r="AJW24" s="334"/>
      <c r="AJX24" s="334"/>
      <c r="AJY24" s="334"/>
      <c r="AJZ24" s="334"/>
      <c r="AKA24" s="334"/>
      <c r="AKB24" s="334"/>
      <c r="AKC24" s="334"/>
      <c r="AKD24" s="334"/>
      <c r="AKE24" s="334"/>
      <c r="AKF24" s="334"/>
      <c r="AKG24" s="334"/>
      <c r="AKH24" s="334"/>
      <c r="AKI24" s="334"/>
      <c r="AKJ24" s="334"/>
      <c r="AKK24" s="334"/>
      <c r="AKL24" s="334"/>
      <c r="AKM24" s="334"/>
      <c r="AKN24" s="334"/>
      <c r="AKO24" s="334"/>
      <c r="AKP24" s="334"/>
      <c r="AKQ24" s="334"/>
      <c r="AKR24" s="334"/>
      <c r="AKS24" s="334"/>
      <c r="AKT24" s="334"/>
      <c r="AKU24" s="334"/>
      <c r="AKV24" s="334"/>
      <c r="AKW24" s="334"/>
      <c r="AKX24" s="334"/>
      <c r="AKY24" s="334"/>
      <c r="AKZ24" s="334"/>
      <c r="ALA24" s="334"/>
      <c r="ALB24" s="334"/>
      <c r="ALC24" s="334"/>
      <c r="ALD24" s="334"/>
      <c r="ALE24" s="334"/>
      <c r="ALF24" s="334"/>
      <c r="ALG24" s="334"/>
      <c r="ALH24" s="334"/>
      <c r="ALI24" s="334"/>
      <c r="ALJ24" s="334"/>
      <c r="ALK24" s="334"/>
      <c r="ALL24" s="334"/>
      <c r="ALM24" s="334"/>
      <c r="ALN24" s="334"/>
      <c r="ALO24" s="334"/>
      <c r="ALP24" s="334"/>
      <c r="ALQ24" s="334"/>
      <c r="ALR24" s="334"/>
      <c r="ALS24" s="334"/>
      <c r="ALT24" s="334"/>
      <c r="ALU24" s="334"/>
      <c r="ALV24" s="334"/>
      <c r="ALW24" s="334"/>
      <c r="ALX24" s="334"/>
      <c r="ALY24" s="334"/>
      <c r="ALZ24" s="334"/>
      <c r="AMA24" s="334"/>
      <c r="AMB24" s="334"/>
      <c r="AMC24" s="334"/>
      <c r="AMD24" s="334"/>
      <c r="AME24" s="334"/>
      <c r="AMF24" s="334"/>
      <c r="AMG24" s="334"/>
      <c r="AMH24" s="334"/>
      <c r="AMI24" s="334"/>
      <c r="AMJ24" s="334"/>
      <c r="AMK24" s="334"/>
      <c r="AML24" s="334"/>
      <c r="AMM24" s="334"/>
      <c r="AMN24" s="334"/>
      <c r="AMO24" s="334"/>
      <c r="AMP24" s="334"/>
      <c r="AMQ24" s="334"/>
      <c r="AMR24" s="334"/>
      <c r="AMS24" s="334"/>
      <c r="AMT24" s="334"/>
      <c r="AMU24" s="334"/>
      <c r="AMV24" s="334"/>
      <c r="AMW24" s="334"/>
      <c r="AMX24" s="334"/>
      <c r="AMY24" s="334"/>
      <c r="AMZ24" s="334"/>
    </row>
    <row r="25" spans="1:1040" s="333" customFormat="1" ht="30.75" customHeight="1" x14ac:dyDescent="0.25">
      <c r="A25" s="334"/>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5"/>
      <c r="AA25" s="688"/>
      <c r="AB25" s="688"/>
      <c r="AW25" s="334"/>
      <c r="AX25" s="334"/>
      <c r="AY25" s="334"/>
      <c r="AZ25" s="334"/>
      <c r="BA25" s="334"/>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4"/>
      <c r="BY25" s="334"/>
      <c r="BZ25" s="334"/>
      <c r="CA25" s="334"/>
      <c r="CB25" s="334"/>
      <c r="CC25" s="334"/>
      <c r="CD25" s="334"/>
      <c r="CE25" s="334"/>
      <c r="CF25" s="334"/>
      <c r="CG25" s="334"/>
      <c r="CH25" s="334"/>
      <c r="CI25" s="334"/>
      <c r="CJ25" s="334"/>
      <c r="CK25" s="334"/>
      <c r="CL25" s="334"/>
      <c r="CM25" s="334"/>
      <c r="CN25" s="334"/>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4"/>
      <c r="EC25" s="334"/>
      <c r="ED25" s="334"/>
      <c r="EE25" s="334"/>
      <c r="EF25" s="334"/>
      <c r="EG25" s="334"/>
      <c r="EH25" s="334"/>
      <c r="EI25" s="334"/>
      <c r="EJ25" s="334"/>
      <c r="EK25" s="334"/>
      <c r="EL25" s="334"/>
      <c r="EM25" s="334"/>
      <c r="EN25" s="334"/>
      <c r="EO25" s="334"/>
      <c r="EP25" s="334"/>
      <c r="EQ25" s="334"/>
      <c r="ER25" s="334"/>
      <c r="ES25" s="334"/>
      <c r="ET25" s="334"/>
      <c r="EU25" s="334"/>
      <c r="EV25" s="334"/>
      <c r="EW25" s="334"/>
      <c r="EX25" s="334"/>
      <c r="EY25" s="334"/>
      <c r="EZ25" s="334"/>
      <c r="FA25" s="334"/>
      <c r="FB25" s="334"/>
      <c r="FC25" s="334"/>
      <c r="FD25" s="334"/>
      <c r="FE25" s="334"/>
      <c r="FF25" s="334"/>
      <c r="FG25" s="334"/>
      <c r="FH25" s="334"/>
      <c r="FI25" s="334"/>
      <c r="FJ25" s="334"/>
      <c r="FK25" s="334"/>
      <c r="FL25" s="334"/>
      <c r="FM25" s="334"/>
      <c r="FN25" s="334"/>
      <c r="FO25" s="334"/>
      <c r="FP25" s="334"/>
      <c r="FQ25" s="334"/>
      <c r="FR25" s="334"/>
      <c r="FS25" s="334"/>
      <c r="FT25" s="334"/>
      <c r="FU25" s="334"/>
      <c r="FV25" s="334"/>
      <c r="FW25" s="334"/>
      <c r="FX25" s="334"/>
      <c r="FY25" s="334"/>
      <c r="FZ25" s="334"/>
      <c r="GA25" s="334"/>
      <c r="GB25" s="334"/>
      <c r="GC25" s="334"/>
      <c r="GD25" s="334"/>
      <c r="GE25" s="334"/>
      <c r="GF25" s="334"/>
      <c r="GG25" s="334"/>
      <c r="GH25" s="334"/>
      <c r="GI25" s="334"/>
      <c r="GJ25" s="334"/>
      <c r="GK25" s="334"/>
      <c r="GL25" s="334"/>
      <c r="GM25" s="334"/>
      <c r="GN25" s="334"/>
      <c r="GO25" s="334"/>
      <c r="GP25" s="334"/>
      <c r="GQ25" s="334"/>
      <c r="GR25" s="334"/>
      <c r="GS25" s="334"/>
      <c r="GT25" s="334"/>
      <c r="GU25" s="334"/>
      <c r="GV25" s="334"/>
      <c r="GW25" s="334"/>
      <c r="GX25" s="334"/>
      <c r="GY25" s="334"/>
      <c r="GZ25" s="334"/>
      <c r="HA25" s="334"/>
      <c r="HB25" s="334"/>
      <c r="HC25" s="334"/>
      <c r="HD25" s="334"/>
      <c r="HE25" s="334"/>
      <c r="HF25" s="334"/>
      <c r="HG25" s="334"/>
      <c r="HH25" s="334"/>
      <c r="HI25" s="334"/>
      <c r="HJ25" s="334"/>
      <c r="HK25" s="334"/>
      <c r="HL25" s="334"/>
      <c r="HM25" s="334"/>
      <c r="HN25" s="334"/>
      <c r="HO25" s="334"/>
      <c r="HP25" s="334"/>
      <c r="HQ25" s="334"/>
      <c r="HR25" s="334"/>
      <c r="HS25" s="334"/>
      <c r="HT25" s="334"/>
      <c r="HU25" s="334"/>
      <c r="HV25" s="334"/>
      <c r="HW25" s="334"/>
      <c r="HX25" s="334"/>
      <c r="HY25" s="334"/>
      <c r="HZ25" s="334"/>
      <c r="IA25" s="334"/>
      <c r="IB25" s="334"/>
      <c r="IC25" s="334"/>
      <c r="ID25" s="334"/>
      <c r="IE25" s="334"/>
      <c r="IF25" s="334"/>
      <c r="IG25" s="334"/>
      <c r="IH25" s="334"/>
      <c r="II25" s="334"/>
      <c r="IJ25" s="334"/>
      <c r="IK25" s="334"/>
      <c r="IL25" s="334"/>
      <c r="IM25" s="334"/>
      <c r="IN25" s="334"/>
      <c r="IO25" s="334"/>
      <c r="IP25" s="334"/>
      <c r="IQ25" s="334"/>
      <c r="IR25" s="334"/>
      <c r="IS25" s="334"/>
      <c r="IT25" s="334"/>
      <c r="IU25" s="334"/>
      <c r="IV25" s="334"/>
      <c r="IW25" s="334"/>
      <c r="IX25" s="334"/>
      <c r="IY25" s="334"/>
      <c r="IZ25" s="334"/>
      <c r="JA25" s="334"/>
      <c r="JB25" s="334"/>
      <c r="JC25" s="334"/>
      <c r="JD25" s="334"/>
      <c r="JE25" s="334"/>
      <c r="JF25" s="334"/>
      <c r="JG25" s="334"/>
      <c r="JH25" s="334"/>
      <c r="JI25" s="334"/>
      <c r="JJ25" s="334"/>
      <c r="JK25" s="334"/>
      <c r="JL25" s="334"/>
      <c r="JM25" s="334"/>
      <c r="JN25" s="334"/>
      <c r="JO25" s="334"/>
      <c r="JP25" s="334"/>
      <c r="JQ25" s="334"/>
      <c r="JR25" s="334"/>
      <c r="JS25" s="334"/>
      <c r="JT25" s="334"/>
      <c r="JU25" s="334"/>
      <c r="JV25" s="334"/>
      <c r="JW25" s="334"/>
      <c r="JX25" s="334"/>
      <c r="JY25" s="334"/>
      <c r="JZ25" s="334"/>
      <c r="KA25" s="334"/>
      <c r="KB25" s="334"/>
      <c r="KC25" s="334"/>
      <c r="KD25" s="334"/>
      <c r="KE25" s="334"/>
      <c r="KF25" s="334"/>
      <c r="KG25" s="334"/>
      <c r="KH25" s="334"/>
      <c r="KI25" s="334"/>
      <c r="KJ25" s="334"/>
      <c r="KK25" s="334"/>
      <c r="KL25" s="334"/>
      <c r="KM25" s="334"/>
      <c r="KN25" s="334"/>
      <c r="KO25" s="334"/>
      <c r="KP25" s="334"/>
      <c r="KQ25" s="334"/>
      <c r="KR25" s="334"/>
      <c r="KS25" s="334"/>
      <c r="KT25" s="334"/>
      <c r="KU25" s="334"/>
      <c r="KV25" s="334"/>
      <c r="KW25" s="334"/>
      <c r="KX25" s="334"/>
      <c r="KY25" s="334"/>
      <c r="KZ25" s="334"/>
      <c r="LA25" s="334"/>
      <c r="LB25" s="334"/>
      <c r="LC25" s="334"/>
      <c r="LD25" s="334"/>
      <c r="LE25" s="334"/>
      <c r="LF25" s="334"/>
      <c r="LG25" s="334"/>
      <c r="LH25" s="334"/>
      <c r="LI25" s="334"/>
      <c r="LJ25" s="334"/>
      <c r="LK25" s="334"/>
      <c r="LL25" s="334"/>
      <c r="LM25" s="334"/>
      <c r="LN25" s="334"/>
      <c r="LO25" s="334"/>
      <c r="LP25" s="334"/>
      <c r="LQ25" s="334"/>
      <c r="LR25" s="334"/>
      <c r="LS25" s="334"/>
      <c r="LT25" s="334"/>
      <c r="LU25" s="334"/>
      <c r="LV25" s="334"/>
      <c r="LW25" s="334"/>
      <c r="LX25" s="334"/>
      <c r="LY25" s="334"/>
      <c r="LZ25" s="334"/>
      <c r="MA25" s="334"/>
      <c r="MB25" s="334"/>
      <c r="MC25" s="334"/>
      <c r="MD25" s="334"/>
      <c r="ME25" s="334"/>
      <c r="MF25" s="334"/>
      <c r="MG25" s="334"/>
      <c r="MH25" s="334"/>
      <c r="MI25" s="334"/>
      <c r="MJ25" s="334"/>
      <c r="MK25" s="334"/>
      <c r="ML25" s="334"/>
      <c r="MM25" s="334"/>
      <c r="MN25" s="334"/>
      <c r="MO25" s="334"/>
      <c r="MP25" s="334"/>
      <c r="MQ25" s="334"/>
      <c r="MR25" s="334"/>
      <c r="MS25" s="334"/>
      <c r="MT25" s="334"/>
      <c r="MU25" s="334"/>
      <c r="MV25" s="334"/>
      <c r="MW25" s="334"/>
      <c r="MX25" s="334"/>
      <c r="MY25" s="334"/>
      <c r="MZ25" s="334"/>
      <c r="NA25" s="334"/>
      <c r="NB25" s="334"/>
      <c r="NC25" s="334"/>
      <c r="ND25" s="334"/>
      <c r="NE25" s="334"/>
      <c r="NF25" s="334"/>
      <c r="NG25" s="334"/>
      <c r="NH25" s="334"/>
      <c r="NI25" s="334"/>
      <c r="NJ25" s="334"/>
      <c r="NK25" s="334"/>
      <c r="NL25" s="334"/>
      <c r="NM25" s="334"/>
      <c r="NN25" s="334"/>
      <c r="NO25" s="334"/>
      <c r="NP25" s="334"/>
      <c r="NQ25" s="334"/>
      <c r="NR25" s="334"/>
      <c r="NS25" s="334"/>
      <c r="NT25" s="334"/>
      <c r="NU25" s="334"/>
      <c r="NV25" s="334"/>
      <c r="NW25" s="334"/>
      <c r="NX25" s="334"/>
      <c r="NY25" s="334"/>
      <c r="NZ25" s="334"/>
      <c r="OA25" s="334"/>
      <c r="OB25" s="334"/>
      <c r="OC25" s="334"/>
      <c r="OD25" s="334"/>
      <c r="OE25" s="334"/>
      <c r="OF25" s="334"/>
      <c r="OG25" s="334"/>
      <c r="OH25" s="334"/>
      <c r="OI25" s="334"/>
      <c r="OJ25" s="334"/>
      <c r="OK25" s="334"/>
      <c r="OL25" s="334"/>
      <c r="OM25" s="334"/>
      <c r="ON25" s="334"/>
      <c r="OO25" s="334"/>
      <c r="OP25" s="334"/>
      <c r="OQ25" s="334"/>
      <c r="OR25" s="334"/>
      <c r="OS25" s="334"/>
      <c r="OT25" s="334"/>
      <c r="OU25" s="334"/>
      <c r="OV25" s="334"/>
      <c r="OW25" s="334"/>
      <c r="OX25" s="334"/>
      <c r="OY25" s="334"/>
      <c r="OZ25" s="334"/>
      <c r="PA25" s="334"/>
      <c r="PB25" s="334"/>
      <c r="PC25" s="334"/>
      <c r="PD25" s="334"/>
      <c r="PE25" s="334"/>
      <c r="PF25" s="334"/>
      <c r="PG25" s="334"/>
      <c r="PH25" s="334"/>
      <c r="PI25" s="334"/>
      <c r="PJ25" s="334"/>
      <c r="PK25" s="334"/>
      <c r="PL25" s="334"/>
      <c r="PM25" s="334"/>
      <c r="PN25" s="334"/>
      <c r="PO25" s="334"/>
      <c r="PP25" s="334"/>
      <c r="PQ25" s="334"/>
      <c r="PR25" s="334"/>
      <c r="PS25" s="334"/>
      <c r="PT25" s="334"/>
      <c r="PU25" s="334"/>
      <c r="PV25" s="334"/>
      <c r="PW25" s="334"/>
      <c r="PX25" s="334"/>
      <c r="PY25" s="334"/>
      <c r="PZ25" s="334"/>
      <c r="QA25" s="334"/>
      <c r="QB25" s="334"/>
      <c r="QC25" s="334"/>
      <c r="QD25" s="334"/>
      <c r="QE25" s="334"/>
      <c r="QF25" s="334"/>
      <c r="QG25" s="334"/>
      <c r="QH25" s="334"/>
      <c r="QI25" s="334"/>
      <c r="QJ25" s="334"/>
      <c r="QK25" s="334"/>
      <c r="QL25" s="334"/>
      <c r="QM25" s="334"/>
      <c r="QN25" s="334"/>
      <c r="QO25" s="334"/>
      <c r="QP25" s="334"/>
      <c r="QQ25" s="334"/>
      <c r="QR25" s="334"/>
      <c r="QS25" s="334"/>
      <c r="QT25" s="334"/>
      <c r="QU25" s="334"/>
      <c r="QV25" s="334"/>
      <c r="QW25" s="334"/>
      <c r="QX25" s="334"/>
      <c r="QY25" s="334"/>
      <c r="QZ25" s="334"/>
      <c r="RA25" s="334"/>
      <c r="RB25" s="334"/>
      <c r="RC25" s="334"/>
      <c r="RD25" s="334"/>
      <c r="RE25" s="334"/>
      <c r="RF25" s="334"/>
      <c r="RG25" s="334"/>
      <c r="RH25" s="334"/>
      <c r="RI25" s="334"/>
      <c r="RJ25" s="334"/>
      <c r="RK25" s="334"/>
      <c r="RL25" s="334"/>
      <c r="RM25" s="334"/>
      <c r="RN25" s="334"/>
      <c r="RO25" s="334"/>
      <c r="RP25" s="334"/>
      <c r="RQ25" s="334"/>
      <c r="RR25" s="334"/>
      <c r="RS25" s="334"/>
      <c r="RT25" s="334"/>
      <c r="RU25" s="334"/>
      <c r="RV25" s="334"/>
      <c r="RW25" s="334"/>
      <c r="RX25" s="334"/>
      <c r="RY25" s="334"/>
      <c r="RZ25" s="334"/>
      <c r="SA25" s="334"/>
      <c r="SB25" s="334"/>
      <c r="SC25" s="334"/>
      <c r="SD25" s="334"/>
      <c r="SE25" s="334"/>
      <c r="SF25" s="334"/>
      <c r="SG25" s="334"/>
      <c r="SH25" s="334"/>
      <c r="SI25" s="334"/>
      <c r="SJ25" s="334"/>
      <c r="SK25" s="334"/>
      <c r="SL25" s="334"/>
      <c r="SM25" s="334"/>
      <c r="SN25" s="334"/>
      <c r="SO25" s="334"/>
      <c r="SP25" s="334"/>
      <c r="SQ25" s="334"/>
      <c r="SR25" s="334"/>
      <c r="SS25" s="334"/>
      <c r="ST25" s="334"/>
      <c r="SU25" s="334"/>
      <c r="SV25" s="334"/>
      <c r="SW25" s="334"/>
      <c r="SX25" s="334"/>
      <c r="SY25" s="334"/>
      <c r="SZ25" s="334"/>
      <c r="TA25" s="334"/>
      <c r="TB25" s="334"/>
      <c r="TC25" s="334"/>
      <c r="TD25" s="334"/>
      <c r="TE25" s="334"/>
      <c r="TF25" s="334"/>
      <c r="TG25" s="334"/>
      <c r="TH25" s="334"/>
      <c r="TI25" s="334"/>
      <c r="TJ25" s="334"/>
      <c r="TK25" s="334"/>
      <c r="TL25" s="334"/>
      <c r="TM25" s="334"/>
      <c r="TN25" s="334"/>
      <c r="TO25" s="334"/>
      <c r="TP25" s="334"/>
      <c r="TQ25" s="334"/>
      <c r="TR25" s="334"/>
      <c r="TS25" s="334"/>
      <c r="TT25" s="334"/>
      <c r="TU25" s="334"/>
      <c r="TV25" s="334"/>
      <c r="TW25" s="334"/>
      <c r="TX25" s="334"/>
      <c r="TY25" s="334"/>
      <c r="TZ25" s="334"/>
      <c r="UA25" s="334"/>
      <c r="UB25" s="334"/>
      <c r="UC25" s="334"/>
      <c r="UD25" s="334"/>
      <c r="UE25" s="334"/>
      <c r="UF25" s="334"/>
      <c r="UG25" s="334"/>
      <c r="UH25" s="334"/>
      <c r="UI25" s="334"/>
      <c r="UJ25" s="334"/>
      <c r="UK25" s="334"/>
      <c r="UL25" s="334"/>
      <c r="UM25" s="334"/>
      <c r="UN25" s="334"/>
      <c r="UO25" s="334"/>
      <c r="UP25" s="334"/>
      <c r="UQ25" s="334"/>
      <c r="UR25" s="334"/>
      <c r="US25" s="334"/>
      <c r="UT25" s="334"/>
      <c r="UU25" s="334"/>
      <c r="UV25" s="334"/>
      <c r="UW25" s="334"/>
      <c r="UX25" s="334"/>
      <c r="UY25" s="334"/>
      <c r="UZ25" s="334"/>
      <c r="VA25" s="334"/>
      <c r="VB25" s="334"/>
      <c r="VC25" s="334"/>
      <c r="VD25" s="334"/>
      <c r="VE25" s="334"/>
      <c r="VF25" s="334"/>
      <c r="VG25" s="334"/>
      <c r="VH25" s="334"/>
      <c r="VI25" s="334"/>
      <c r="VJ25" s="334"/>
      <c r="VK25" s="334"/>
      <c r="VL25" s="334"/>
      <c r="VM25" s="334"/>
      <c r="VN25" s="334"/>
      <c r="VO25" s="334"/>
      <c r="VP25" s="334"/>
      <c r="VQ25" s="334"/>
      <c r="VR25" s="334"/>
      <c r="VS25" s="334"/>
      <c r="VT25" s="334"/>
      <c r="VU25" s="334"/>
      <c r="VV25" s="334"/>
      <c r="VW25" s="334"/>
      <c r="VX25" s="334"/>
      <c r="VY25" s="334"/>
      <c r="VZ25" s="334"/>
      <c r="WA25" s="334"/>
      <c r="WB25" s="334"/>
      <c r="WC25" s="334"/>
      <c r="WD25" s="334"/>
      <c r="WE25" s="334"/>
      <c r="WF25" s="334"/>
      <c r="WG25" s="334"/>
      <c r="WH25" s="334"/>
      <c r="WI25" s="334"/>
      <c r="WJ25" s="334"/>
      <c r="WK25" s="334"/>
      <c r="WL25" s="334"/>
      <c r="WM25" s="334"/>
      <c r="WN25" s="334"/>
      <c r="WO25" s="334"/>
      <c r="WP25" s="334"/>
      <c r="WQ25" s="334"/>
      <c r="WR25" s="334"/>
      <c r="WS25" s="334"/>
      <c r="WT25" s="334"/>
      <c r="WU25" s="334"/>
      <c r="WV25" s="334"/>
      <c r="WW25" s="334"/>
      <c r="WX25" s="334"/>
      <c r="WY25" s="334"/>
      <c r="WZ25" s="334"/>
      <c r="XA25" s="334"/>
      <c r="XB25" s="334"/>
      <c r="XC25" s="334"/>
      <c r="XD25" s="334"/>
      <c r="XE25" s="334"/>
      <c r="XF25" s="334"/>
      <c r="XG25" s="334"/>
      <c r="XH25" s="334"/>
      <c r="XI25" s="334"/>
      <c r="XJ25" s="334"/>
      <c r="XK25" s="334"/>
      <c r="XL25" s="334"/>
      <c r="XM25" s="334"/>
      <c r="XN25" s="334"/>
      <c r="XO25" s="334"/>
      <c r="XP25" s="334"/>
      <c r="XQ25" s="334"/>
      <c r="XR25" s="334"/>
      <c r="XS25" s="334"/>
      <c r="XT25" s="334"/>
      <c r="XU25" s="334"/>
      <c r="XV25" s="334"/>
      <c r="XW25" s="334"/>
      <c r="XX25" s="334"/>
      <c r="XY25" s="334"/>
      <c r="XZ25" s="334"/>
      <c r="YA25" s="334"/>
      <c r="YB25" s="334"/>
      <c r="YC25" s="334"/>
      <c r="YD25" s="334"/>
      <c r="YE25" s="334"/>
      <c r="YF25" s="334"/>
      <c r="YG25" s="334"/>
      <c r="YH25" s="334"/>
      <c r="YI25" s="334"/>
      <c r="YJ25" s="334"/>
      <c r="YK25" s="334"/>
      <c r="YL25" s="334"/>
      <c r="YM25" s="334"/>
      <c r="YN25" s="334"/>
      <c r="YO25" s="334"/>
      <c r="YP25" s="334"/>
      <c r="YQ25" s="334"/>
      <c r="YR25" s="334"/>
      <c r="YS25" s="334"/>
      <c r="YT25" s="334"/>
      <c r="YU25" s="334"/>
      <c r="YV25" s="334"/>
      <c r="YW25" s="334"/>
      <c r="YX25" s="334"/>
      <c r="YY25" s="334"/>
      <c r="YZ25" s="334"/>
      <c r="ZA25" s="334"/>
      <c r="ZB25" s="334"/>
      <c r="ZC25" s="334"/>
      <c r="ZD25" s="334"/>
      <c r="ZE25" s="334"/>
      <c r="ZF25" s="334"/>
      <c r="ZG25" s="334"/>
      <c r="ZH25" s="334"/>
      <c r="ZI25" s="334"/>
      <c r="ZJ25" s="334"/>
      <c r="ZK25" s="334"/>
      <c r="ZL25" s="334"/>
      <c r="ZM25" s="334"/>
      <c r="ZN25" s="334"/>
      <c r="ZO25" s="334"/>
      <c r="ZP25" s="334"/>
      <c r="ZQ25" s="334"/>
      <c r="ZR25" s="334"/>
      <c r="ZS25" s="334"/>
      <c r="ZT25" s="334"/>
      <c r="ZU25" s="334"/>
      <c r="ZV25" s="334"/>
      <c r="ZW25" s="334"/>
      <c r="ZX25" s="334"/>
      <c r="ZY25" s="334"/>
      <c r="ZZ25" s="334"/>
      <c r="AAA25" s="334"/>
      <c r="AAB25" s="334"/>
      <c r="AAC25" s="334"/>
      <c r="AAD25" s="334"/>
      <c r="AAE25" s="334"/>
      <c r="AAF25" s="334"/>
      <c r="AAG25" s="334"/>
      <c r="AAH25" s="334"/>
      <c r="AAI25" s="334"/>
      <c r="AAJ25" s="334"/>
      <c r="AAK25" s="334"/>
      <c r="AAL25" s="334"/>
      <c r="AAM25" s="334"/>
      <c r="AAN25" s="334"/>
      <c r="AAO25" s="334"/>
      <c r="AAP25" s="334"/>
      <c r="AAQ25" s="334"/>
      <c r="AAR25" s="334"/>
      <c r="AAS25" s="334"/>
      <c r="AAT25" s="334"/>
      <c r="AAU25" s="334"/>
      <c r="AAV25" s="334"/>
      <c r="AAW25" s="334"/>
      <c r="AAX25" s="334"/>
      <c r="AAY25" s="334"/>
      <c r="AAZ25" s="334"/>
      <c r="ABA25" s="334"/>
      <c r="ABB25" s="334"/>
      <c r="ABC25" s="334"/>
      <c r="ABD25" s="334"/>
      <c r="ABE25" s="334"/>
      <c r="ABF25" s="334"/>
      <c r="ABG25" s="334"/>
      <c r="ABH25" s="334"/>
      <c r="ABI25" s="334"/>
      <c r="ABJ25" s="334"/>
      <c r="ABK25" s="334"/>
      <c r="ABL25" s="334"/>
      <c r="ABM25" s="334"/>
      <c r="ABN25" s="334"/>
      <c r="ABO25" s="334"/>
      <c r="ABP25" s="334"/>
      <c r="ABQ25" s="334"/>
      <c r="ABR25" s="334"/>
      <c r="ABS25" s="334"/>
      <c r="ABT25" s="334"/>
      <c r="ABU25" s="334"/>
      <c r="ABV25" s="334"/>
      <c r="ABW25" s="334"/>
      <c r="ABX25" s="334"/>
      <c r="ABY25" s="334"/>
      <c r="ABZ25" s="334"/>
      <c r="ACA25" s="334"/>
      <c r="ACB25" s="334"/>
      <c r="ACC25" s="334"/>
      <c r="ACD25" s="334"/>
      <c r="ACE25" s="334"/>
      <c r="ACF25" s="334"/>
      <c r="ACG25" s="334"/>
      <c r="ACH25" s="334"/>
      <c r="ACI25" s="334"/>
      <c r="ACJ25" s="334"/>
      <c r="ACK25" s="334"/>
      <c r="ACL25" s="334"/>
      <c r="ACM25" s="334"/>
      <c r="ACN25" s="334"/>
      <c r="ACO25" s="334"/>
      <c r="ACP25" s="334"/>
      <c r="ACQ25" s="334"/>
      <c r="ACR25" s="334"/>
      <c r="ACS25" s="334"/>
      <c r="ACT25" s="334"/>
      <c r="ACU25" s="334"/>
      <c r="ACV25" s="334"/>
      <c r="ACW25" s="334"/>
      <c r="ACX25" s="334"/>
      <c r="ACY25" s="334"/>
      <c r="ACZ25" s="334"/>
      <c r="ADA25" s="334"/>
      <c r="ADB25" s="334"/>
      <c r="ADC25" s="334"/>
      <c r="ADD25" s="334"/>
      <c r="ADE25" s="334"/>
      <c r="ADF25" s="334"/>
      <c r="ADG25" s="334"/>
      <c r="ADH25" s="334"/>
      <c r="ADI25" s="334"/>
      <c r="ADJ25" s="334"/>
      <c r="ADK25" s="334"/>
      <c r="ADL25" s="334"/>
      <c r="ADM25" s="334"/>
      <c r="ADN25" s="334"/>
      <c r="ADO25" s="334"/>
      <c r="ADP25" s="334"/>
      <c r="ADQ25" s="334"/>
      <c r="ADR25" s="334"/>
      <c r="ADS25" s="334"/>
      <c r="ADT25" s="334"/>
      <c r="ADU25" s="334"/>
      <c r="ADV25" s="334"/>
      <c r="ADW25" s="334"/>
      <c r="ADX25" s="334"/>
      <c r="ADY25" s="334"/>
      <c r="ADZ25" s="334"/>
      <c r="AEA25" s="334"/>
      <c r="AEB25" s="334"/>
      <c r="AEC25" s="334"/>
      <c r="AED25" s="334"/>
      <c r="AEE25" s="334"/>
      <c r="AEF25" s="334"/>
      <c r="AEG25" s="334"/>
      <c r="AEH25" s="334"/>
      <c r="AEI25" s="334"/>
      <c r="AEJ25" s="334"/>
      <c r="AEK25" s="334"/>
      <c r="AEL25" s="334"/>
      <c r="AEM25" s="334"/>
      <c r="AEN25" s="334"/>
      <c r="AEO25" s="334"/>
      <c r="AEP25" s="334"/>
      <c r="AEQ25" s="334"/>
      <c r="AER25" s="334"/>
      <c r="AES25" s="334"/>
      <c r="AET25" s="334"/>
      <c r="AEU25" s="334"/>
      <c r="AEV25" s="334"/>
      <c r="AEW25" s="334"/>
      <c r="AEX25" s="334"/>
      <c r="AEY25" s="334"/>
      <c r="AEZ25" s="334"/>
      <c r="AFA25" s="334"/>
      <c r="AFB25" s="334"/>
      <c r="AFC25" s="334"/>
      <c r="AFD25" s="334"/>
      <c r="AFE25" s="334"/>
      <c r="AFF25" s="334"/>
      <c r="AFG25" s="334"/>
      <c r="AFH25" s="334"/>
      <c r="AFI25" s="334"/>
      <c r="AFJ25" s="334"/>
      <c r="AFK25" s="334"/>
      <c r="AFL25" s="334"/>
      <c r="AFM25" s="334"/>
      <c r="AFN25" s="334"/>
      <c r="AFO25" s="334"/>
      <c r="AFP25" s="334"/>
      <c r="AFQ25" s="334"/>
      <c r="AFR25" s="334"/>
      <c r="AFS25" s="334"/>
      <c r="AFT25" s="334"/>
      <c r="AFU25" s="334"/>
      <c r="AFV25" s="334"/>
      <c r="AFW25" s="334"/>
      <c r="AFX25" s="334"/>
      <c r="AFY25" s="334"/>
      <c r="AFZ25" s="334"/>
      <c r="AGA25" s="334"/>
      <c r="AGB25" s="334"/>
      <c r="AGC25" s="334"/>
      <c r="AGD25" s="334"/>
      <c r="AGE25" s="334"/>
      <c r="AGF25" s="334"/>
      <c r="AGG25" s="334"/>
      <c r="AGH25" s="334"/>
      <c r="AGI25" s="334"/>
      <c r="AGJ25" s="334"/>
      <c r="AGK25" s="334"/>
      <c r="AGL25" s="334"/>
      <c r="AGM25" s="334"/>
      <c r="AGN25" s="334"/>
      <c r="AGO25" s="334"/>
      <c r="AGP25" s="334"/>
      <c r="AGQ25" s="334"/>
      <c r="AGR25" s="334"/>
      <c r="AGS25" s="334"/>
      <c r="AGT25" s="334"/>
      <c r="AGU25" s="334"/>
      <c r="AGV25" s="334"/>
      <c r="AGW25" s="334"/>
      <c r="AGX25" s="334"/>
      <c r="AGY25" s="334"/>
      <c r="AGZ25" s="334"/>
      <c r="AHA25" s="334"/>
      <c r="AHB25" s="334"/>
      <c r="AHC25" s="334"/>
      <c r="AHD25" s="334"/>
      <c r="AHE25" s="334"/>
      <c r="AHF25" s="334"/>
      <c r="AHG25" s="334"/>
      <c r="AHH25" s="334"/>
      <c r="AHI25" s="334"/>
      <c r="AHJ25" s="334"/>
      <c r="AHK25" s="334"/>
      <c r="AHL25" s="334"/>
      <c r="AHM25" s="334"/>
      <c r="AHN25" s="334"/>
      <c r="AHO25" s="334"/>
      <c r="AHP25" s="334"/>
      <c r="AHQ25" s="334"/>
      <c r="AHR25" s="334"/>
      <c r="AHS25" s="334"/>
      <c r="AHT25" s="334"/>
      <c r="AHU25" s="334"/>
      <c r="AHV25" s="334"/>
      <c r="AHW25" s="334"/>
      <c r="AHX25" s="334"/>
      <c r="AHY25" s="334"/>
      <c r="AHZ25" s="334"/>
      <c r="AIA25" s="334"/>
      <c r="AIB25" s="334"/>
      <c r="AIC25" s="334"/>
      <c r="AID25" s="334"/>
      <c r="AIE25" s="334"/>
      <c r="AIF25" s="334"/>
      <c r="AIG25" s="334"/>
      <c r="AIH25" s="334"/>
      <c r="AII25" s="334"/>
      <c r="AIJ25" s="334"/>
      <c r="AIK25" s="334"/>
      <c r="AIL25" s="334"/>
      <c r="AIM25" s="334"/>
      <c r="AIN25" s="334"/>
      <c r="AIO25" s="334"/>
      <c r="AIP25" s="334"/>
      <c r="AIQ25" s="334"/>
      <c r="AIR25" s="334"/>
      <c r="AIS25" s="334"/>
      <c r="AIT25" s="334"/>
      <c r="AIU25" s="334"/>
      <c r="AIV25" s="334"/>
      <c r="AIW25" s="334"/>
      <c r="AIX25" s="334"/>
      <c r="AIY25" s="334"/>
      <c r="AIZ25" s="334"/>
      <c r="AJA25" s="334"/>
      <c r="AJB25" s="334"/>
      <c r="AJC25" s="334"/>
      <c r="AJD25" s="334"/>
      <c r="AJE25" s="334"/>
      <c r="AJF25" s="334"/>
      <c r="AJG25" s="334"/>
      <c r="AJH25" s="334"/>
      <c r="AJI25" s="334"/>
      <c r="AJJ25" s="334"/>
      <c r="AJK25" s="334"/>
      <c r="AJL25" s="334"/>
      <c r="AJM25" s="334"/>
      <c r="AJN25" s="334"/>
      <c r="AJO25" s="334"/>
      <c r="AJP25" s="334"/>
      <c r="AJQ25" s="334"/>
      <c r="AJR25" s="334"/>
      <c r="AJS25" s="334"/>
      <c r="AJT25" s="334"/>
      <c r="AJU25" s="334"/>
      <c r="AJV25" s="334"/>
      <c r="AJW25" s="334"/>
      <c r="AJX25" s="334"/>
      <c r="AJY25" s="334"/>
      <c r="AJZ25" s="334"/>
      <c r="AKA25" s="334"/>
      <c r="AKB25" s="334"/>
      <c r="AKC25" s="334"/>
      <c r="AKD25" s="334"/>
      <c r="AKE25" s="334"/>
      <c r="AKF25" s="334"/>
      <c r="AKG25" s="334"/>
      <c r="AKH25" s="334"/>
      <c r="AKI25" s="334"/>
      <c r="AKJ25" s="334"/>
      <c r="AKK25" s="334"/>
      <c r="AKL25" s="334"/>
      <c r="AKM25" s="334"/>
      <c r="AKN25" s="334"/>
      <c r="AKO25" s="334"/>
      <c r="AKP25" s="334"/>
      <c r="AKQ25" s="334"/>
      <c r="AKR25" s="334"/>
      <c r="AKS25" s="334"/>
      <c r="AKT25" s="334"/>
      <c r="AKU25" s="334"/>
      <c r="AKV25" s="334"/>
      <c r="AKW25" s="334"/>
      <c r="AKX25" s="334"/>
      <c r="AKY25" s="334"/>
      <c r="AKZ25" s="334"/>
      <c r="ALA25" s="334"/>
      <c r="ALB25" s="334"/>
      <c r="ALC25" s="334"/>
      <c r="ALD25" s="334"/>
      <c r="ALE25" s="334"/>
      <c r="ALF25" s="334"/>
      <c r="ALG25" s="334"/>
      <c r="ALH25" s="334"/>
      <c r="ALI25" s="334"/>
      <c r="ALJ25" s="334"/>
      <c r="ALK25" s="334"/>
      <c r="ALL25" s="334"/>
      <c r="ALM25" s="334"/>
      <c r="ALN25" s="334"/>
      <c r="ALO25" s="334"/>
      <c r="ALP25" s="334"/>
      <c r="ALQ25" s="334"/>
      <c r="ALR25" s="334"/>
      <c r="ALS25" s="334"/>
      <c r="ALT25" s="334"/>
      <c r="ALU25" s="334"/>
      <c r="ALV25" s="334"/>
      <c r="ALW25" s="334"/>
      <c r="ALX25" s="334"/>
      <c r="ALY25" s="334"/>
      <c r="ALZ25" s="334"/>
      <c r="AMA25" s="334"/>
      <c r="AMB25" s="334"/>
      <c r="AMC25" s="334"/>
      <c r="AMD25" s="334"/>
      <c r="AME25" s="334"/>
      <c r="AMF25" s="334"/>
      <c r="AMG25" s="334"/>
      <c r="AMH25" s="334"/>
      <c r="AMI25" s="334"/>
      <c r="AMJ25" s="334"/>
      <c r="AMK25" s="334"/>
      <c r="AML25" s="334"/>
      <c r="AMM25" s="334"/>
      <c r="AMN25" s="334"/>
      <c r="AMO25" s="334"/>
      <c r="AMP25" s="334"/>
      <c r="AMQ25" s="334"/>
      <c r="AMR25" s="334"/>
      <c r="AMS25" s="334"/>
      <c r="AMT25" s="334"/>
      <c r="AMU25" s="334"/>
      <c r="AMV25" s="334"/>
      <c r="AMW25" s="334"/>
      <c r="AMX25" s="334"/>
      <c r="AMY25" s="334"/>
      <c r="AMZ25" s="334"/>
    </row>
    <row r="26" spans="1:1040" s="333" customFormat="1" ht="13.2" x14ac:dyDescent="0.25">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5"/>
      <c r="AA26" s="399"/>
      <c r="AB26" s="399"/>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4"/>
      <c r="CL26" s="334"/>
      <c r="CM26" s="334"/>
      <c r="CN26" s="334"/>
      <c r="CO26" s="334"/>
      <c r="CP26" s="334"/>
      <c r="CQ26" s="334"/>
      <c r="CR26" s="334"/>
      <c r="CS26" s="334"/>
      <c r="CT26" s="334"/>
      <c r="CU26" s="334"/>
      <c r="CV26" s="334"/>
      <c r="CW26" s="334"/>
      <c r="CX26" s="334"/>
      <c r="CY26" s="334"/>
      <c r="CZ26" s="334"/>
      <c r="DA26" s="334"/>
      <c r="DB26" s="334"/>
      <c r="DC26" s="334"/>
      <c r="DD26" s="334"/>
      <c r="DE26" s="334"/>
      <c r="DF26" s="334"/>
      <c r="DG26" s="334"/>
      <c r="DH26" s="334"/>
      <c r="DI26" s="334"/>
      <c r="DJ26" s="334"/>
      <c r="DK26" s="334"/>
      <c r="DL26" s="334"/>
      <c r="DM26" s="334"/>
      <c r="DN26" s="334"/>
      <c r="DO26" s="334"/>
      <c r="DP26" s="334"/>
      <c r="DQ26" s="334"/>
      <c r="DR26" s="334"/>
      <c r="DS26" s="334"/>
      <c r="DT26" s="334"/>
      <c r="DU26" s="334"/>
      <c r="DV26" s="334"/>
      <c r="DW26" s="334"/>
      <c r="DX26" s="334"/>
      <c r="DY26" s="334"/>
      <c r="DZ26" s="334"/>
      <c r="EA26" s="334"/>
      <c r="EB26" s="334"/>
      <c r="EC26" s="334"/>
      <c r="ED26" s="334"/>
      <c r="EE26" s="334"/>
      <c r="EF26" s="334"/>
      <c r="EG26" s="334"/>
      <c r="EH26" s="334"/>
      <c r="EI26" s="334"/>
      <c r="EJ26" s="334"/>
      <c r="EK26" s="334"/>
      <c r="EL26" s="334"/>
      <c r="EM26" s="334"/>
      <c r="EN26" s="334"/>
      <c r="EO26" s="334"/>
      <c r="EP26" s="334"/>
      <c r="EQ26" s="334"/>
      <c r="ER26" s="334"/>
      <c r="ES26" s="334"/>
      <c r="ET26" s="334"/>
      <c r="EU26" s="334"/>
      <c r="EV26" s="334"/>
      <c r="EW26" s="334"/>
      <c r="EX26" s="334"/>
      <c r="EY26" s="334"/>
      <c r="EZ26" s="334"/>
      <c r="FA26" s="334"/>
      <c r="FB26" s="334"/>
      <c r="FC26" s="334"/>
      <c r="FD26" s="334"/>
      <c r="FE26" s="334"/>
      <c r="FF26" s="334"/>
      <c r="FG26" s="334"/>
      <c r="FH26" s="334"/>
      <c r="FI26" s="334"/>
      <c r="FJ26" s="334"/>
      <c r="FK26" s="334"/>
      <c r="FL26" s="334"/>
      <c r="FM26" s="334"/>
      <c r="FN26" s="334"/>
      <c r="FO26" s="334"/>
      <c r="FP26" s="334"/>
      <c r="FQ26" s="334"/>
      <c r="FR26" s="334"/>
      <c r="FS26" s="334"/>
      <c r="FT26" s="334"/>
      <c r="FU26" s="334"/>
      <c r="FV26" s="334"/>
      <c r="FW26" s="334"/>
      <c r="FX26" s="334"/>
      <c r="FY26" s="334"/>
      <c r="FZ26" s="334"/>
      <c r="GA26" s="334"/>
      <c r="GB26" s="334"/>
      <c r="GC26" s="334"/>
      <c r="GD26" s="334"/>
      <c r="GE26" s="334"/>
      <c r="GF26" s="334"/>
      <c r="GG26" s="334"/>
      <c r="GH26" s="334"/>
      <c r="GI26" s="334"/>
      <c r="GJ26" s="334"/>
      <c r="GK26" s="334"/>
      <c r="GL26" s="334"/>
      <c r="GM26" s="334"/>
      <c r="GN26" s="334"/>
      <c r="GO26" s="334"/>
      <c r="GP26" s="334"/>
      <c r="GQ26" s="334"/>
      <c r="GR26" s="334"/>
      <c r="GS26" s="334"/>
      <c r="GT26" s="334"/>
      <c r="GU26" s="334"/>
      <c r="GV26" s="334"/>
      <c r="GW26" s="334"/>
      <c r="GX26" s="334"/>
      <c r="GY26" s="334"/>
      <c r="GZ26" s="334"/>
      <c r="HA26" s="334"/>
      <c r="HB26" s="334"/>
      <c r="HC26" s="334"/>
      <c r="HD26" s="334"/>
      <c r="HE26" s="334"/>
      <c r="HF26" s="334"/>
      <c r="HG26" s="334"/>
      <c r="HH26" s="334"/>
      <c r="HI26" s="334"/>
      <c r="HJ26" s="334"/>
      <c r="HK26" s="334"/>
      <c r="HL26" s="334"/>
      <c r="HM26" s="334"/>
      <c r="HN26" s="334"/>
      <c r="HO26" s="334"/>
      <c r="HP26" s="334"/>
      <c r="HQ26" s="334"/>
      <c r="HR26" s="334"/>
      <c r="HS26" s="334"/>
      <c r="HT26" s="334"/>
      <c r="HU26" s="334"/>
      <c r="HV26" s="334"/>
      <c r="HW26" s="334"/>
      <c r="HX26" s="334"/>
      <c r="HY26" s="334"/>
      <c r="HZ26" s="334"/>
      <c r="IA26" s="334"/>
      <c r="IB26" s="334"/>
      <c r="IC26" s="334"/>
      <c r="ID26" s="334"/>
      <c r="IE26" s="334"/>
      <c r="IF26" s="334"/>
      <c r="IG26" s="334"/>
      <c r="IH26" s="334"/>
      <c r="II26" s="334"/>
      <c r="IJ26" s="334"/>
      <c r="IK26" s="334"/>
      <c r="IL26" s="334"/>
      <c r="IM26" s="334"/>
      <c r="IN26" s="334"/>
      <c r="IO26" s="334"/>
      <c r="IP26" s="334"/>
      <c r="IQ26" s="334"/>
      <c r="IR26" s="334"/>
      <c r="IS26" s="334"/>
      <c r="IT26" s="334"/>
      <c r="IU26" s="334"/>
      <c r="IV26" s="334"/>
      <c r="IW26" s="334"/>
      <c r="IX26" s="334"/>
      <c r="IY26" s="334"/>
      <c r="IZ26" s="334"/>
      <c r="JA26" s="334"/>
      <c r="JB26" s="334"/>
      <c r="JC26" s="334"/>
      <c r="JD26" s="334"/>
      <c r="JE26" s="334"/>
      <c r="JF26" s="334"/>
      <c r="JG26" s="334"/>
      <c r="JH26" s="334"/>
      <c r="JI26" s="334"/>
      <c r="JJ26" s="334"/>
      <c r="JK26" s="334"/>
      <c r="JL26" s="334"/>
      <c r="JM26" s="334"/>
      <c r="JN26" s="334"/>
      <c r="JO26" s="334"/>
      <c r="JP26" s="334"/>
      <c r="JQ26" s="334"/>
      <c r="JR26" s="334"/>
      <c r="JS26" s="334"/>
      <c r="JT26" s="334"/>
      <c r="JU26" s="334"/>
      <c r="JV26" s="334"/>
      <c r="JW26" s="334"/>
      <c r="JX26" s="334"/>
      <c r="JY26" s="334"/>
      <c r="JZ26" s="334"/>
      <c r="KA26" s="334"/>
      <c r="KB26" s="334"/>
      <c r="KC26" s="334"/>
      <c r="KD26" s="334"/>
      <c r="KE26" s="334"/>
      <c r="KF26" s="334"/>
      <c r="KG26" s="334"/>
      <c r="KH26" s="334"/>
      <c r="KI26" s="334"/>
      <c r="KJ26" s="334"/>
      <c r="KK26" s="334"/>
      <c r="KL26" s="334"/>
      <c r="KM26" s="334"/>
      <c r="KN26" s="334"/>
      <c r="KO26" s="334"/>
      <c r="KP26" s="334"/>
      <c r="KQ26" s="334"/>
      <c r="KR26" s="334"/>
      <c r="KS26" s="334"/>
      <c r="KT26" s="334"/>
      <c r="KU26" s="334"/>
      <c r="KV26" s="334"/>
      <c r="KW26" s="334"/>
      <c r="KX26" s="334"/>
      <c r="KY26" s="334"/>
      <c r="KZ26" s="334"/>
      <c r="LA26" s="334"/>
      <c r="LB26" s="334"/>
      <c r="LC26" s="334"/>
      <c r="LD26" s="334"/>
      <c r="LE26" s="334"/>
      <c r="LF26" s="334"/>
      <c r="LG26" s="334"/>
      <c r="LH26" s="334"/>
      <c r="LI26" s="334"/>
      <c r="LJ26" s="334"/>
      <c r="LK26" s="334"/>
      <c r="LL26" s="334"/>
      <c r="LM26" s="334"/>
      <c r="LN26" s="334"/>
      <c r="LO26" s="334"/>
      <c r="LP26" s="334"/>
      <c r="LQ26" s="334"/>
      <c r="LR26" s="334"/>
      <c r="LS26" s="334"/>
      <c r="LT26" s="334"/>
      <c r="LU26" s="334"/>
      <c r="LV26" s="334"/>
      <c r="LW26" s="334"/>
      <c r="LX26" s="334"/>
      <c r="LY26" s="334"/>
      <c r="LZ26" s="334"/>
      <c r="MA26" s="334"/>
      <c r="MB26" s="334"/>
      <c r="MC26" s="334"/>
      <c r="MD26" s="334"/>
      <c r="ME26" s="334"/>
      <c r="MF26" s="334"/>
      <c r="MG26" s="334"/>
      <c r="MH26" s="334"/>
      <c r="MI26" s="334"/>
      <c r="MJ26" s="334"/>
      <c r="MK26" s="334"/>
      <c r="ML26" s="334"/>
      <c r="MM26" s="334"/>
      <c r="MN26" s="334"/>
      <c r="MO26" s="334"/>
      <c r="MP26" s="334"/>
      <c r="MQ26" s="334"/>
      <c r="MR26" s="334"/>
      <c r="MS26" s="334"/>
      <c r="MT26" s="334"/>
      <c r="MU26" s="334"/>
      <c r="MV26" s="334"/>
      <c r="MW26" s="334"/>
      <c r="MX26" s="334"/>
      <c r="MY26" s="334"/>
      <c r="MZ26" s="334"/>
      <c r="NA26" s="334"/>
      <c r="NB26" s="334"/>
      <c r="NC26" s="334"/>
      <c r="ND26" s="334"/>
      <c r="NE26" s="334"/>
      <c r="NF26" s="334"/>
      <c r="NG26" s="334"/>
      <c r="NH26" s="334"/>
      <c r="NI26" s="334"/>
      <c r="NJ26" s="334"/>
      <c r="NK26" s="334"/>
      <c r="NL26" s="334"/>
      <c r="NM26" s="334"/>
      <c r="NN26" s="334"/>
      <c r="NO26" s="334"/>
      <c r="NP26" s="334"/>
      <c r="NQ26" s="334"/>
      <c r="NR26" s="334"/>
      <c r="NS26" s="334"/>
      <c r="NT26" s="334"/>
      <c r="NU26" s="334"/>
      <c r="NV26" s="334"/>
      <c r="NW26" s="334"/>
      <c r="NX26" s="334"/>
      <c r="NY26" s="334"/>
      <c r="NZ26" s="334"/>
      <c r="OA26" s="334"/>
      <c r="OB26" s="334"/>
      <c r="OC26" s="334"/>
      <c r="OD26" s="334"/>
      <c r="OE26" s="334"/>
      <c r="OF26" s="334"/>
      <c r="OG26" s="334"/>
      <c r="OH26" s="334"/>
      <c r="OI26" s="334"/>
      <c r="OJ26" s="334"/>
      <c r="OK26" s="334"/>
      <c r="OL26" s="334"/>
      <c r="OM26" s="334"/>
      <c r="ON26" s="334"/>
      <c r="OO26" s="334"/>
      <c r="OP26" s="334"/>
      <c r="OQ26" s="334"/>
      <c r="OR26" s="334"/>
      <c r="OS26" s="334"/>
      <c r="OT26" s="334"/>
      <c r="OU26" s="334"/>
      <c r="OV26" s="334"/>
      <c r="OW26" s="334"/>
      <c r="OX26" s="334"/>
      <c r="OY26" s="334"/>
      <c r="OZ26" s="334"/>
      <c r="PA26" s="334"/>
      <c r="PB26" s="334"/>
      <c r="PC26" s="334"/>
      <c r="PD26" s="334"/>
      <c r="PE26" s="334"/>
      <c r="PF26" s="334"/>
      <c r="PG26" s="334"/>
      <c r="PH26" s="334"/>
      <c r="PI26" s="334"/>
      <c r="PJ26" s="334"/>
      <c r="PK26" s="334"/>
      <c r="PL26" s="334"/>
      <c r="PM26" s="334"/>
      <c r="PN26" s="334"/>
      <c r="PO26" s="334"/>
      <c r="PP26" s="334"/>
      <c r="PQ26" s="334"/>
      <c r="PR26" s="334"/>
      <c r="PS26" s="334"/>
      <c r="PT26" s="334"/>
      <c r="PU26" s="334"/>
      <c r="PV26" s="334"/>
      <c r="PW26" s="334"/>
      <c r="PX26" s="334"/>
      <c r="PY26" s="334"/>
      <c r="PZ26" s="334"/>
      <c r="QA26" s="334"/>
      <c r="QB26" s="334"/>
      <c r="QC26" s="334"/>
      <c r="QD26" s="334"/>
      <c r="QE26" s="334"/>
      <c r="QF26" s="334"/>
      <c r="QG26" s="334"/>
      <c r="QH26" s="334"/>
      <c r="QI26" s="334"/>
      <c r="QJ26" s="334"/>
      <c r="QK26" s="334"/>
      <c r="QL26" s="334"/>
      <c r="QM26" s="334"/>
      <c r="QN26" s="334"/>
      <c r="QO26" s="334"/>
      <c r="QP26" s="334"/>
      <c r="QQ26" s="334"/>
      <c r="QR26" s="334"/>
      <c r="QS26" s="334"/>
      <c r="QT26" s="334"/>
      <c r="QU26" s="334"/>
      <c r="QV26" s="334"/>
      <c r="QW26" s="334"/>
      <c r="QX26" s="334"/>
      <c r="QY26" s="334"/>
      <c r="QZ26" s="334"/>
      <c r="RA26" s="334"/>
      <c r="RB26" s="334"/>
      <c r="RC26" s="334"/>
      <c r="RD26" s="334"/>
      <c r="RE26" s="334"/>
      <c r="RF26" s="334"/>
      <c r="RG26" s="334"/>
      <c r="RH26" s="334"/>
      <c r="RI26" s="334"/>
      <c r="RJ26" s="334"/>
      <c r="RK26" s="334"/>
      <c r="RL26" s="334"/>
      <c r="RM26" s="334"/>
      <c r="RN26" s="334"/>
      <c r="RO26" s="334"/>
      <c r="RP26" s="334"/>
      <c r="RQ26" s="334"/>
      <c r="RR26" s="334"/>
      <c r="RS26" s="334"/>
      <c r="RT26" s="334"/>
      <c r="RU26" s="334"/>
      <c r="RV26" s="334"/>
      <c r="RW26" s="334"/>
      <c r="RX26" s="334"/>
      <c r="RY26" s="334"/>
      <c r="RZ26" s="334"/>
      <c r="SA26" s="334"/>
      <c r="SB26" s="334"/>
      <c r="SC26" s="334"/>
      <c r="SD26" s="334"/>
      <c r="SE26" s="334"/>
      <c r="SF26" s="334"/>
      <c r="SG26" s="334"/>
      <c r="SH26" s="334"/>
      <c r="SI26" s="334"/>
      <c r="SJ26" s="334"/>
      <c r="SK26" s="334"/>
      <c r="SL26" s="334"/>
      <c r="SM26" s="334"/>
      <c r="SN26" s="334"/>
      <c r="SO26" s="334"/>
      <c r="SP26" s="334"/>
      <c r="SQ26" s="334"/>
      <c r="SR26" s="334"/>
      <c r="SS26" s="334"/>
      <c r="ST26" s="334"/>
      <c r="SU26" s="334"/>
      <c r="SV26" s="334"/>
      <c r="SW26" s="334"/>
      <c r="SX26" s="334"/>
      <c r="SY26" s="334"/>
      <c r="SZ26" s="334"/>
      <c r="TA26" s="334"/>
      <c r="TB26" s="334"/>
      <c r="TC26" s="334"/>
      <c r="TD26" s="334"/>
      <c r="TE26" s="334"/>
      <c r="TF26" s="334"/>
      <c r="TG26" s="334"/>
      <c r="TH26" s="334"/>
      <c r="TI26" s="334"/>
      <c r="TJ26" s="334"/>
      <c r="TK26" s="334"/>
      <c r="TL26" s="334"/>
      <c r="TM26" s="334"/>
      <c r="TN26" s="334"/>
      <c r="TO26" s="334"/>
      <c r="TP26" s="334"/>
      <c r="TQ26" s="334"/>
      <c r="TR26" s="334"/>
      <c r="TS26" s="334"/>
      <c r="TT26" s="334"/>
      <c r="TU26" s="334"/>
      <c r="TV26" s="334"/>
      <c r="TW26" s="334"/>
      <c r="TX26" s="334"/>
      <c r="TY26" s="334"/>
      <c r="TZ26" s="334"/>
      <c r="UA26" s="334"/>
      <c r="UB26" s="334"/>
      <c r="UC26" s="334"/>
      <c r="UD26" s="334"/>
      <c r="UE26" s="334"/>
      <c r="UF26" s="334"/>
      <c r="UG26" s="334"/>
      <c r="UH26" s="334"/>
      <c r="UI26" s="334"/>
      <c r="UJ26" s="334"/>
      <c r="UK26" s="334"/>
      <c r="UL26" s="334"/>
      <c r="UM26" s="334"/>
      <c r="UN26" s="334"/>
      <c r="UO26" s="334"/>
      <c r="UP26" s="334"/>
      <c r="UQ26" s="334"/>
      <c r="UR26" s="334"/>
      <c r="US26" s="334"/>
      <c r="UT26" s="334"/>
      <c r="UU26" s="334"/>
      <c r="UV26" s="334"/>
      <c r="UW26" s="334"/>
      <c r="UX26" s="334"/>
      <c r="UY26" s="334"/>
      <c r="UZ26" s="334"/>
      <c r="VA26" s="334"/>
      <c r="VB26" s="334"/>
      <c r="VC26" s="334"/>
      <c r="VD26" s="334"/>
      <c r="VE26" s="334"/>
      <c r="VF26" s="334"/>
      <c r="VG26" s="334"/>
      <c r="VH26" s="334"/>
      <c r="VI26" s="334"/>
      <c r="VJ26" s="334"/>
      <c r="VK26" s="334"/>
      <c r="VL26" s="334"/>
      <c r="VM26" s="334"/>
      <c r="VN26" s="334"/>
      <c r="VO26" s="334"/>
      <c r="VP26" s="334"/>
      <c r="VQ26" s="334"/>
      <c r="VR26" s="334"/>
      <c r="VS26" s="334"/>
      <c r="VT26" s="334"/>
      <c r="VU26" s="334"/>
      <c r="VV26" s="334"/>
      <c r="VW26" s="334"/>
      <c r="VX26" s="334"/>
      <c r="VY26" s="334"/>
      <c r="VZ26" s="334"/>
      <c r="WA26" s="334"/>
      <c r="WB26" s="334"/>
      <c r="WC26" s="334"/>
      <c r="WD26" s="334"/>
      <c r="WE26" s="334"/>
      <c r="WF26" s="334"/>
      <c r="WG26" s="334"/>
      <c r="WH26" s="334"/>
      <c r="WI26" s="334"/>
      <c r="WJ26" s="334"/>
      <c r="WK26" s="334"/>
      <c r="WL26" s="334"/>
      <c r="WM26" s="334"/>
      <c r="WN26" s="334"/>
      <c r="WO26" s="334"/>
      <c r="WP26" s="334"/>
      <c r="WQ26" s="334"/>
      <c r="WR26" s="334"/>
      <c r="WS26" s="334"/>
      <c r="WT26" s="334"/>
      <c r="WU26" s="334"/>
      <c r="WV26" s="334"/>
      <c r="WW26" s="334"/>
      <c r="WX26" s="334"/>
      <c r="WY26" s="334"/>
      <c r="WZ26" s="334"/>
      <c r="XA26" s="334"/>
      <c r="XB26" s="334"/>
      <c r="XC26" s="334"/>
      <c r="XD26" s="334"/>
      <c r="XE26" s="334"/>
      <c r="XF26" s="334"/>
      <c r="XG26" s="334"/>
      <c r="XH26" s="334"/>
      <c r="XI26" s="334"/>
      <c r="XJ26" s="334"/>
      <c r="XK26" s="334"/>
      <c r="XL26" s="334"/>
      <c r="XM26" s="334"/>
      <c r="XN26" s="334"/>
      <c r="XO26" s="334"/>
      <c r="XP26" s="334"/>
      <c r="XQ26" s="334"/>
      <c r="XR26" s="334"/>
      <c r="XS26" s="334"/>
      <c r="XT26" s="334"/>
      <c r="XU26" s="334"/>
      <c r="XV26" s="334"/>
      <c r="XW26" s="334"/>
      <c r="XX26" s="334"/>
      <c r="XY26" s="334"/>
      <c r="XZ26" s="334"/>
      <c r="YA26" s="334"/>
      <c r="YB26" s="334"/>
      <c r="YC26" s="334"/>
      <c r="YD26" s="334"/>
      <c r="YE26" s="334"/>
      <c r="YF26" s="334"/>
      <c r="YG26" s="334"/>
      <c r="YH26" s="334"/>
      <c r="YI26" s="334"/>
      <c r="YJ26" s="334"/>
      <c r="YK26" s="334"/>
      <c r="YL26" s="334"/>
      <c r="YM26" s="334"/>
      <c r="YN26" s="334"/>
      <c r="YO26" s="334"/>
      <c r="YP26" s="334"/>
      <c r="YQ26" s="334"/>
      <c r="YR26" s="334"/>
      <c r="YS26" s="334"/>
      <c r="YT26" s="334"/>
      <c r="YU26" s="334"/>
      <c r="YV26" s="334"/>
      <c r="YW26" s="334"/>
      <c r="YX26" s="334"/>
      <c r="YY26" s="334"/>
      <c r="YZ26" s="334"/>
      <c r="ZA26" s="334"/>
      <c r="ZB26" s="334"/>
      <c r="ZC26" s="334"/>
      <c r="ZD26" s="334"/>
      <c r="ZE26" s="334"/>
      <c r="ZF26" s="334"/>
      <c r="ZG26" s="334"/>
      <c r="ZH26" s="334"/>
      <c r="ZI26" s="334"/>
      <c r="ZJ26" s="334"/>
      <c r="ZK26" s="334"/>
      <c r="ZL26" s="334"/>
      <c r="ZM26" s="334"/>
      <c r="ZN26" s="334"/>
      <c r="ZO26" s="334"/>
      <c r="ZP26" s="334"/>
      <c r="ZQ26" s="334"/>
      <c r="ZR26" s="334"/>
      <c r="ZS26" s="334"/>
      <c r="ZT26" s="334"/>
      <c r="ZU26" s="334"/>
      <c r="ZV26" s="334"/>
      <c r="ZW26" s="334"/>
      <c r="ZX26" s="334"/>
      <c r="ZY26" s="334"/>
      <c r="ZZ26" s="334"/>
      <c r="AAA26" s="334"/>
      <c r="AAB26" s="334"/>
      <c r="AAC26" s="334"/>
      <c r="AAD26" s="334"/>
      <c r="AAE26" s="334"/>
      <c r="AAF26" s="334"/>
      <c r="AAG26" s="334"/>
      <c r="AAH26" s="334"/>
      <c r="AAI26" s="334"/>
      <c r="AAJ26" s="334"/>
      <c r="AAK26" s="334"/>
      <c r="AAL26" s="334"/>
      <c r="AAM26" s="334"/>
      <c r="AAN26" s="334"/>
      <c r="AAO26" s="334"/>
      <c r="AAP26" s="334"/>
      <c r="AAQ26" s="334"/>
      <c r="AAR26" s="334"/>
      <c r="AAS26" s="334"/>
      <c r="AAT26" s="334"/>
      <c r="AAU26" s="334"/>
      <c r="AAV26" s="334"/>
      <c r="AAW26" s="334"/>
      <c r="AAX26" s="334"/>
      <c r="AAY26" s="334"/>
      <c r="AAZ26" s="334"/>
      <c r="ABA26" s="334"/>
      <c r="ABB26" s="334"/>
      <c r="ABC26" s="334"/>
      <c r="ABD26" s="334"/>
      <c r="ABE26" s="334"/>
      <c r="ABF26" s="334"/>
      <c r="ABG26" s="334"/>
      <c r="ABH26" s="334"/>
      <c r="ABI26" s="334"/>
      <c r="ABJ26" s="334"/>
      <c r="ABK26" s="334"/>
      <c r="ABL26" s="334"/>
      <c r="ABM26" s="334"/>
      <c r="ABN26" s="334"/>
      <c r="ABO26" s="334"/>
      <c r="ABP26" s="334"/>
      <c r="ABQ26" s="334"/>
      <c r="ABR26" s="334"/>
      <c r="ABS26" s="334"/>
      <c r="ABT26" s="334"/>
      <c r="ABU26" s="334"/>
      <c r="ABV26" s="334"/>
      <c r="ABW26" s="334"/>
      <c r="ABX26" s="334"/>
      <c r="ABY26" s="334"/>
      <c r="ABZ26" s="334"/>
      <c r="ACA26" s="334"/>
      <c r="ACB26" s="334"/>
      <c r="ACC26" s="334"/>
      <c r="ACD26" s="334"/>
      <c r="ACE26" s="334"/>
      <c r="ACF26" s="334"/>
      <c r="ACG26" s="334"/>
      <c r="ACH26" s="334"/>
      <c r="ACI26" s="334"/>
      <c r="ACJ26" s="334"/>
      <c r="ACK26" s="334"/>
      <c r="ACL26" s="334"/>
      <c r="ACM26" s="334"/>
      <c r="ACN26" s="334"/>
      <c r="ACO26" s="334"/>
      <c r="ACP26" s="334"/>
      <c r="ACQ26" s="334"/>
      <c r="ACR26" s="334"/>
      <c r="ACS26" s="334"/>
      <c r="ACT26" s="334"/>
      <c r="ACU26" s="334"/>
      <c r="ACV26" s="334"/>
      <c r="ACW26" s="334"/>
      <c r="ACX26" s="334"/>
      <c r="ACY26" s="334"/>
      <c r="ACZ26" s="334"/>
      <c r="ADA26" s="334"/>
      <c r="ADB26" s="334"/>
      <c r="ADC26" s="334"/>
      <c r="ADD26" s="334"/>
      <c r="ADE26" s="334"/>
      <c r="ADF26" s="334"/>
      <c r="ADG26" s="334"/>
      <c r="ADH26" s="334"/>
      <c r="ADI26" s="334"/>
      <c r="ADJ26" s="334"/>
      <c r="ADK26" s="334"/>
      <c r="ADL26" s="334"/>
      <c r="ADM26" s="334"/>
      <c r="ADN26" s="334"/>
      <c r="ADO26" s="334"/>
      <c r="ADP26" s="334"/>
      <c r="ADQ26" s="334"/>
      <c r="ADR26" s="334"/>
      <c r="ADS26" s="334"/>
      <c r="ADT26" s="334"/>
      <c r="ADU26" s="334"/>
      <c r="ADV26" s="334"/>
      <c r="ADW26" s="334"/>
      <c r="ADX26" s="334"/>
      <c r="ADY26" s="334"/>
      <c r="ADZ26" s="334"/>
      <c r="AEA26" s="334"/>
      <c r="AEB26" s="334"/>
      <c r="AEC26" s="334"/>
      <c r="AED26" s="334"/>
      <c r="AEE26" s="334"/>
      <c r="AEF26" s="334"/>
      <c r="AEG26" s="334"/>
      <c r="AEH26" s="334"/>
      <c r="AEI26" s="334"/>
      <c r="AEJ26" s="334"/>
      <c r="AEK26" s="334"/>
      <c r="AEL26" s="334"/>
      <c r="AEM26" s="334"/>
      <c r="AEN26" s="334"/>
      <c r="AEO26" s="334"/>
      <c r="AEP26" s="334"/>
      <c r="AEQ26" s="334"/>
      <c r="AER26" s="334"/>
      <c r="AES26" s="334"/>
      <c r="AET26" s="334"/>
      <c r="AEU26" s="334"/>
      <c r="AEV26" s="334"/>
      <c r="AEW26" s="334"/>
      <c r="AEX26" s="334"/>
      <c r="AEY26" s="334"/>
      <c r="AEZ26" s="334"/>
      <c r="AFA26" s="334"/>
      <c r="AFB26" s="334"/>
      <c r="AFC26" s="334"/>
      <c r="AFD26" s="334"/>
      <c r="AFE26" s="334"/>
      <c r="AFF26" s="334"/>
      <c r="AFG26" s="334"/>
      <c r="AFH26" s="334"/>
      <c r="AFI26" s="334"/>
      <c r="AFJ26" s="334"/>
      <c r="AFK26" s="334"/>
      <c r="AFL26" s="334"/>
      <c r="AFM26" s="334"/>
      <c r="AFN26" s="334"/>
      <c r="AFO26" s="334"/>
      <c r="AFP26" s="334"/>
      <c r="AFQ26" s="334"/>
      <c r="AFR26" s="334"/>
      <c r="AFS26" s="334"/>
      <c r="AFT26" s="334"/>
      <c r="AFU26" s="334"/>
      <c r="AFV26" s="334"/>
      <c r="AFW26" s="334"/>
      <c r="AFX26" s="334"/>
      <c r="AFY26" s="334"/>
      <c r="AFZ26" s="334"/>
      <c r="AGA26" s="334"/>
      <c r="AGB26" s="334"/>
      <c r="AGC26" s="334"/>
      <c r="AGD26" s="334"/>
      <c r="AGE26" s="334"/>
      <c r="AGF26" s="334"/>
      <c r="AGG26" s="334"/>
      <c r="AGH26" s="334"/>
      <c r="AGI26" s="334"/>
      <c r="AGJ26" s="334"/>
      <c r="AGK26" s="334"/>
      <c r="AGL26" s="334"/>
      <c r="AGM26" s="334"/>
      <c r="AGN26" s="334"/>
      <c r="AGO26" s="334"/>
      <c r="AGP26" s="334"/>
      <c r="AGQ26" s="334"/>
      <c r="AGR26" s="334"/>
      <c r="AGS26" s="334"/>
      <c r="AGT26" s="334"/>
      <c r="AGU26" s="334"/>
      <c r="AGV26" s="334"/>
      <c r="AGW26" s="334"/>
      <c r="AGX26" s="334"/>
      <c r="AGY26" s="334"/>
      <c r="AGZ26" s="334"/>
      <c r="AHA26" s="334"/>
      <c r="AHB26" s="334"/>
      <c r="AHC26" s="334"/>
      <c r="AHD26" s="334"/>
      <c r="AHE26" s="334"/>
      <c r="AHF26" s="334"/>
      <c r="AHG26" s="334"/>
      <c r="AHH26" s="334"/>
      <c r="AHI26" s="334"/>
      <c r="AHJ26" s="334"/>
      <c r="AHK26" s="334"/>
      <c r="AHL26" s="334"/>
      <c r="AHM26" s="334"/>
      <c r="AHN26" s="334"/>
      <c r="AHO26" s="334"/>
      <c r="AHP26" s="334"/>
      <c r="AHQ26" s="334"/>
      <c r="AHR26" s="334"/>
      <c r="AHS26" s="334"/>
      <c r="AHT26" s="334"/>
      <c r="AHU26" s="334"/>
      <c r="AHV26" s="334"/>
      <c r="AHW26" s="334"/>
      <c r="AHX26" s="334"/>
      <c r="AHY26" s="334"/>
      <c r="AHZ26" s="334"/>
      <c r="AIA26" s="334"/>
      <c r="AIB26" s="334"/>
      <c r="AIC26" s="334"/>
      <c r="AID26" s="334"/>
      <c r="AIE26" s="334"/>
      <c r="AIF26" s="334"/>
      <c r="AIG26" s="334"/>
      <c r="AIH26" s="334"/>
      <c r="AII26" s="334"/>
      <c r="AIJ26" s="334"/>
      <c r="AIK26" s="334"/>
      <c r="AIL26" s="334"/>
      <c r="AIM26" s="334"/>
      <c r="AIN26" s="334"/>
      <c r="AIO26" s="334"/>
      <c r="AIP26" s="334"/>
      <c r="AIQ26" s="334"/>
      <c r="AIR26" s="334"/>
      <c r="AIS26" s="334"/>
      <c r="AIT26" s="334"/>
      <c r="AIU26" s="334"/>
      <c r="AIV26" s="334"/>
      <c r="AIW26" s="334"/>
      <c r="AIX26" s="334"/>
      <c r="AIY26" s="334"/>
      <c r="AIZ26" s="334"/>
      <c r="AJA26" s="334"/>
      <c r="AJB26" s="334"/>
      <c r="AJC26" s="334"/>
      <c r="AJD26" s="334"/>
      <c r="AJE26" s="334"/>
      <c r="AJF26" s="334"/>
      <c r="AJG26" s="334"/>
      <c r="AJH26" s="334"/>
      <c r="AJI26" s="334"/>
      <c r="AJJ26" s="334"/>
      <c r="AJK26" s="334"/>
      <c r="AJL26" s="334"/>
      <c r="AJM26" s="334"/>
      <c r="AJN26" s="334"/>
      <c r="AJO26" s="334"/>
      <c r="AJP26" s="334"/>
      <c r="AJQ26" s="334"/>
      <c r="AJR26" s="334"/>
      <c r="AJS26" s="334"/>
      <c r="AJT26" s="334"/>
      <c r="AJU26" s="334"/>
      <c r="AJV26" s="334"/>
      <c r="AJW26" s="334"/>
      <c r="AJX26" s="334"/>
      <c r="AJY26" s="334"/>
      <c r="AJZ26" s="334"/>
      <c r="AKA26" s="334"/>
      <c r="AKB26" s="334"/>
      <c r="AKC26" s="334"/>
      <c r="AKD26" s="334"/>
      <c r="AKE26" s="334"/>
      <c r="AKF26" s="334"/>
      <c r="AKG26" s="334"/>
      <c r="AKH26" s="334"/>
      <c r="AKI26" s="334"/>
      <c r="AKJ26" s="334"/>
      <c r="AKK26" s="334"/>
      <c r="AKL26" s="334"/>
      <c r="AKM26" s="334"/>
      <c r="AKN26" s="334"/>
      <c r="AKO26" s="334"/>
      <c r="AKP26" s="334"/>
      <c r="AKQ26" s="334"/>
      <c r="AKR26" s="334"/>
      <c r="AKS26" s="334"/>
      <c r="AKT26" s="334"/>
      <c r="AKU26" s="334"/>
      <c r="AKV26" s="334"/>
      <c r="AKW26" s="334"/>
      <c r="AKX26" s="334"/>
      <c r="AKY26" s="334"/>
      <c r="AKZ26" s="334"/>
      <c r="ALA26" s="334"/>
      <c r="ALB26" s="334"/>
      <c r="ALC26" s="334"/>
      <c r="ALD26" s="334"/>
      <c r="ALE26" s="334"/>
      <c r="ALF26" s="334"/>
      <c r="ALG26" s="334"/>
      <c r="ALH26" s="334"/>
      <c r="ALI26" s="334"/>
      <c r="ALJ26" s="334"/>
      <c r="ALK26" s="334"/>
      <c r="ALL26" s="334"/>
      <c r="ALM26" s="334"/>
      <c r="ALN26" s="334"/>
      <c r="ALO26" s="334"/>
      <c r="ALP26" s="334"/>
      <c r="ALQ26" s="334"/>
      <c r="ALR26" s="334"/>
      <c r="ALS26" s="334"/>
      <c r="ALT26" s="334"/>
      <c r="ALU26" s="334"/>
      <c r="ALV26" s="334"/>
      <c r="ALW26" s="334"/>
      <c r="ALX26" s="334"/>
      <c r="ALY26" s="334"/>
      <c r="ALZ26" s="334"/>
      <c r="AMA26" s="334"/>
      <c r="AMB26" s="334"/>
      <c r="AMC26" s="334"/>
      <c r="AMD26" s="334"/>
      <c r="AME26" s="334"/>
      <c r="AMF26" s="334"/>
      <c r="AMG26" s="334"/>
      <c r="AMH26" s="334"/>
      <c r="AMI26" s="334"/>
      <c r="AMJ26" s="334"/>
      <c r="AMK26" s="334"/>
      <c r="AML26" s="334"/>
      <c r="AMM26" s="334"/>
      <c r="AMN26" s="334"/>
      <c r="AMO26" s="334"/>
      <c r="AMP26" s="334"/>
      <c r="AMQ26" s="334"/>
      <c r="AMR26" s="334"/>
      <c r="AMS26" s="334"/>
      <c r="AMT26" s="334"/>
      <c r="AMU26" s="334"/>
      <c r="AMV26" s="334"/>
      <c r="AMW26" s="334"/>
      <c r="AMX26" s="334"/>
      <c r="AMY26" s="334"/>
      <c r="AMZ26" s="334"/>
    </row>
    <row r="27" spans="1:1040" s="333" customFormat="1" ht="52.5" customHeight="1" x14ac:dyDescent="0.25">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5"/>
      <c r="AA27" s="335"/>
      <c r="AB27" s="335"/>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4"/>
      <c r="CJ27" s="334"/>
      <c r="CK27" s="334"/>
      <c r="CL27" s="334"/>
      <c r="CM27" s="334"/>
      <c r="CN27" s="334"/>
      <c r="CO27" s="334"/>
      <c r="CP27" s="334"/>
      <c r="CQ27" s="334"/>
      <c r="CR27" s="334"/>
      <c r="CS27" s="334"/>
      <c r="CT27" s="334"/>
      <c r="CU27" s="334"/>
      <c r="CV27" s="334"/>
      <c r="CW27" s="334"/>
      <c r="CX27" s="334"/>
      <c r="CY27" s="334"/>
      <c r="CZ27" s="334"/>
      <c r="DA27" s="334"/>
      <c r="DB27" s="334"/>
      <c r="DC27" s="334"/>
      <c r="DD27" s="334"/>
      <c r="DE27" s="334"/>
      <c r="DF27" s="334"/>
      <c r="DG27" s="334"/>
      <c r="DH27" s="334"/>
      <c r="DI27" s="334"/>
      <c r="DJ27" s="334"/>
      <c r="DK27" s="334"/>
      <c r="DL27" s="334"/>
      <c r="DM27" s="334"/>
      <c r="DN27" s="334"/>
      <c r="DO27" s="334"/>
      <c r="DP27" s="334"/>
      <c r="DQ27" s="334"/>
      <c r="DR27" s="334"/>
      <c r="DS27" s="334"/>
      <c r="DT27" s="334"/>
      <c r="DU27" s="334"/>
      <c r="DV27" s="334"/>
      <c r="DW27" s="334"/>
      <c r="DX27" s="334"/>
      <c r="DY27" s="334"/>
      <c r="DZ27" s="334"/>
      <c r="EA27" s="334"/>
      <c r="EB27" s="334"/>
      <c r="EC27" s="334"/>
      <c r="ED27" s="334"/>
      <c r="EE27" s="334"/>
      <c r="EF27" s="334"/>
      <c r="EG27" s="334"/>
      <c r="EH27" s="334"/>
      <c r="EI27" s="334"/>
      <c r="EJ27" s="334"/>
      <c r="EK27" s="334"/>
      <c r="EL27" s="334"/>
      <c r="EM27" s="334"/>
      <c r="EN27" s="334"/>
      <c r="EO27" s="334"/>
      <c r="EP27" s="334"/>
      <c r="EQ27" s="334"/>
      <c r="ER27" s="334"/>
      <c r="ES27" s="334"/>
      <c r="ET27" s="334"/>
      <c r="EU27" s="334"/>
      <c r="EV27" s="334"/>
      <c r="EW27" s="334"/>
      <c r="EX27" s="334"/>
      <c r="EY27" s="334"/>
      <c r="EZ27" s="334"/>
      <c r="FA27" s="334"/>
      <c r="FB27" s="334"/>
      <c r="FC27" s="334"/>
      <c r="FD27" s="334"/>
      <c r="FE27" s="334"/>
      <c r="FF27" s="334"/>
      <c r="FG27" s="334"/>
      <c r="FH27" s="334"/>
      <c r="FI27" s="334"/>
      <c r="FJ27" s="334"/>
      <c r="FK27" s="334"/>
      <c r="FL27" s="334"/>
      <c r="FM27" s="334"/>
      <c r="FN27" s="334"/>
      <c r="FO27" s="334"/>
      <c r="FP27" s="334"/>
      <c r="FQ27" s="334"/>
      <c r="FR27" s="334"/>
      <c r="FS27" s="334"/>
      <c r="FT27" s="334"/>
      <c r="FU27" s="334"/>
      <c r="FV27" s="334"/>
      <c r="FW27" s="334"/>
      <c r="FX27" s="334"/>
      <c r="FY27" s="334"/>
      <c r="FZ27" s="334"/>
      <c r="GA27" s="334"/>
      <c r="GB27" s="334"/>
      <c r="GC27" s="334"/>
      <c r="GD27" s="334"/>
      <c r="GE27" s="334"/>
      <c r="GF27" s="334"/>
      <c r="GG27" s="334"/>
      <c r="GH27" s="334"/>
      <c r="GI27" s="334"/>
      <c r="GJ27" s="334"/>
      <c r="GK27" s="334"/>
      <c r="GL27" s="334"/>
      <c r="GM27" s="334"/>
      <c r="GN27" s="334"/>
      <c r="GO27" s="334"/>
      <c r="GP27" s="334"/>
      <c r="GQ27" s="334"/>
      <c r="GR27" s="334"/>
      <c r="GS27" s="334"/>
      <c r="GT27" s="334"/>
      <c r="GU27" s="334"/>
      <c r="GV27" s="334"/>
      <c r="GW27" s="334"/>
      <c r="GX27" s="334"/>
      <c r="GY27" s="334"/>
      <c r="GZ27" s="334"/>
      <c r="HA27" s="334"/>
      <c r="HB27" s="334"/>
      <c r="HC27" s="334"/>
      <c r="HD27" s="334"/>
      <c r="HE27" s="334"/>
      <c r="HF27" s="334"/>
      <c r="HG27" s="334"/>
      <c r="HH27" s="334"/>
      <c r="HI27" s="334"/>
      <c r="HJ27" s="334"/>
      <c r="HK27" s="334"/>
      <c r="HL27" s="334"/>
      <c r="HM27" s="334"/>
      <c r="HN27" s="334"/>
      <c r="HO27" s="334"/>
      <c r="HP27" s="334"/>
      <c r="HQ27" s="334"/>
      <c r="HR27" s="334"/>
      <c r="HS27" s="334"/>
      <c r="HT27" s="334"/>
      <c r="HU27" s="334"/>
      <c r="HV27" s="334"/>
      <c r="HW27" s="334"/>
      <c r="HX27" s="334"/>
      <c r="HY27" s="334"/>
      <c r="HZ27" s="334"/>
      <c r="IA27" s="334"/>
      <c r="IB27" s="334"/>
      <c r="IC27" s="334"/>
      <c r="ID27" s="334"/>
      <c r="IE27" s="334"/>
      <c r="IF27" s="334"/>
      <c r="IG27" s="334"/>
      <c r="IH27" s="334"/>
      <c r="II27" s="334"/>
      <c r="IJ27" s="334"/>
      <c r="IK27" s="334"/>
      <c r="IL27" s="334"/>
      <c r="IM27" s="334"/>
      <c r="IN27" s="334"/>
      <c r="IO27" s="334"/>
      <c r="IP27" s="334"/>
      <c r="IQ27" s="334"/>
      <c r="IR27" s="334"/>
      <c r="IS27" s="334"/>
      <c r="IT27" s="334"/>
      <c r="IU27" s="334"/>
      <c r="IV27" s="334"/>
      <c r="IW27" s="334"/>
      <c r="IX27" s="334"/>
      <c r="IY27" s="334"/>
      <c r="IZ27" s="334"/>
      <c r="JA27" s="334"/>
      <c r="JB27" s="334"/>
      <c r="JC27" s="334"/>
      <c r="JD27" s="334"/>
      <c r="JE27" s="334"/>
      <c r="JF27" s="334"/>
      <c r="JG27" s="334"/>
      <c r="JH27" s="334"/>
      <c r="JI27" s="334"/>
      <c r="JJ27" s="334"/>
      <c r="JK27" s="334"/>
      <c r="JL27" s="334"/>
      <c r="JM27" s="334"/>
      <c r="JN27" s="334"/>
      <c r="JO27" s="334"/>
      <c r="JP27" s="334"/>
      <c r="JQ27" s="334"/>
      <c r="JR27" s="334"/>
      <c r="JS27" s="334"/>
      <c r="JT27" s="334"/>
      <c r="JU27" s="334"/>
      <c r="JV27" s="334"/>
      <c r="JW27" s="334"/>
      <c r="JX27" s="334"/>
      <c r="JY27" s="334"/>
      <c r="JZ27" s="334"/>
      <c r="KA27" s="334"/>
      <c r="KB27" s="334"/>
      <c r="KC27" s="334"/>
      <c r="KD27" s="334"/>
      <c r="KE27" s="334"/>
      <c r="KF27" s="334"/>
      <c r="KG27" s="334"/>
      <c r="KH27" s="334"/>
      <c r="KI27" s="334"/>
      <c r="KJ27" s="334"/>
      <c r="KK27" s="334"/>
      <c r="KL27" s="334"/>
      <c r="KM27" s="334"/>
      <c r="KN27" s="334"/>
      <c r="KO27" s="334"/>
      <c r="KP27" s="334"/>
      <c r="KQ27" s="334"/>
      <c r="KR27" s="334"/>
      <c r="KS27" s="334"/>
      <c r="KT27" s="334"/>
      <c r="KU27" s="334"/>
      <c r="KV27" s="334"/>
      <c r="KW27" s="334"/>
      <c r="KX27" s="334"/>
      <c r="KY27" s="334"/>
      <c r="KZ27" s="334"/>
      <c r="LA27" s="334"/>
      <c r="LB27" s="334"/>
      <c r="LC27" s="334"/>
      <c r="LD27" s="334"/>
      <c r="LE27" s="334"/>
      <c r="LF27" s="334"/>
      <c r="LG27" s="334"/>
      <c r="LH27" s="334"/>
      <c r="LI27" s="334"/>
      <c r="LJ27" s="334"/>
      <c r="LK27" s="334"/>
      <c r="LL27" s="334"/>
      <c r="LM27" s="334"/>
      <c r="LN27" s="334"/>
      <c r="LO27" s="334"/>
      <c r="LP27" s="334"/>
      <c r="LQ27" s="334"/>
      <c r="LR27" s="334"/>
      <c r="LS27" s="334"/>
      <c r="LT27" s="334"/>
      <c r="LU27" s="334"/>
      <c r="LV27" s="334"/>
      <c r="LW27" s="334"/>
      <c r="LX27" s="334"/>
      <c r="LY27" s="334"/>
      <c r="LZ27" s="334"/>
      <c r="MA27" s="334"/>
      <c r="MB27" s="334"/>
      <c r="MC27" s="334"/>
      <c r="MD27" s="334"/>
      <c r="ME27" s="334"/>
      <c r="MF27" s="334"/>
      <c r="MG27" s="334"/>
      <c r="MH27" s="334"/>
      <c r="MI27" s="334"/>
      <c r="MJ27" s="334"/>
      <c r="MK27" s="334"/>
      <c r="ML27" s="334"/>
      <c r="MM27" s="334"/>
      <c r="MN27" s="334"/>
      <c r="MO27" s="334"/>
      <c r="MP27" s="334"/>
      <c r="MQ27" s="334"/>
      <c r="MR27" s="334"/>
      <c r="MS27" s="334"/>
      <c r="MT27" s="334"/>
      <c r="MU27" s="334"/>
      <c r="MV27" s="334"/>
      <c r="MW27" s="334"/>
      <c r="MX27" s="334"/>
      <c r="MY27" s="334"/>
      <c r="MZ27" s="334"/>
      <c r="NA27" s="334"/>
      <c r="NB27" s="334"/>
      <c r="NC27" s="334"/>
      <c r="ND27" s="334"/>
      <c r="NE27" s="334"/>
      <c r="NF27" s="334"/>
      <c r="NG27" s="334"/>
      <c r="NH27" s="334"/>
      <c r="NI27" s="334"/>
      <c r="NJ27" s="334"/>
      <c r="NK27" s="334"/>
      <c r="NL27" s="334"/>
      <c r="NM27" s="334"/>
      <c r="NN27" s="334"/>
      <c r="NO27" s="334"/>
      <c r="NP27" s="334"/>
      <c r="NQ27" s="334"/>
      <c r="NR27" s="334"/>
      <c r="NS27" s="334"/>
      <c r="NT27" s="334"/>
      <c r="NU27" s="334"/>
      <c r="NV27" s="334"/>
      <c r="NW27" s="334"/>
      <c r="NX27" s="334"/>
      <c r="NY27" s="334"/>
      <c r="NZ27" s="334"/>
      <c r="OA27" s="334"/>
      <c r="OB27" s="334"/>
      <c r="OC27" s="334"/>
      <c r="OD27" s="334"/>
      <c r="OE27" s="334"/>
      <c r="OF27" s="334"/>
      <c r="OG27" s="334"/>
      <c r="OH27" s="334"/>
      <c r="OI27" s="334"/>
      <c r="OJ27" s="334"/>
      <c r="OK27" s="334"/>
      <c r="OL27" s="334"/>
      <c r="OM27" s="334"/>
      <c r="ON27" s="334"/>
      <c r="OO27" s="334"/>
      <c r="OP27" s="334"/>
      <c r="OQ27" s="334"/>
      <c r="OR27" s="334"/>
      <c r="OS27" s="334"/>
      <c r="OT27" s="334"/>
      <c r="OU27" s="334"/>
      <c r="OV27" s="334"/>
      <c r="OW27" s="334"/>
      <c r="OX27" s="334"/>
      <c r="OY27" s="334"/>
      <c r="OZ27" s="334"/>
      <c r="PA27" s="334"/>
      <c r="PB27" s="334"/>
      <c r="PC27" s="334"/>
      <c r="PD27" s="334"/>
      <c r="PE27" s="334"/>
      <c r="PF27" s="334"/>
      <c r="PG27" s="334"/>
      <c r="PH27" s="334"/>
      <c r="PI27" s="334"/>
      <c r="PJ27" s="334"/>
      <c r="PK27" s="334"/>
      <c r="PL27" s="334"/>
      <c r="PM27" s="334"/>
      <c r="PN27" s="334"/>
      <c r="PO27" s="334"/>
      <c r="PP27" s="334"/>
      <c r="PQ27" s="334"/>
      <c r="PR27" s="334"/>
      <c r="PS27" s="334"/>
      <c r="PT27" s="334"/>
      <c r="PU27" s="334"/>
      <c r="PV27" s="334"/>
      <c r="PW27" s="334"/>
      <c r="PX27" s="334"/>
      <c r="PY27" s="334"/>
      <c r="PZ27" s="334"/>
      <c r="QA27" s="334"/>
      <c r="QB27" s="334"/>
      <c r="QC27" s="334"/>
      <c r="QD27" s="334"/>
      <c r="QE27" s="334"/>
      <c r="QF27" s="334"/>
      <c r="QG27" s="334"/>
      <c r="QH27" s="334"/>
      <c r="QI27" s="334"/>
      <c r="QJ27" s="334"/>
      <c r="QK27" s="334"/>
      <c r="QL27" s="334"/>
      <c r="QM27" s="334"/>
      <c r="QN27" s="334"/>
      <c r="QO27" s="334"/>
      <c r="QP27" s="334"/>
      <c r="QQ27" s="334"/>
      <c r="QR27" s="334"/>
      <c r="QS27" s="334"/>
      <c r="QT27" s="334"/>
      <c r="QU27" s="334"/>
      <c r="QV27" s="334"/>
      <c r="QW27" s="334"/>
      <c r="QX27" s="334"/>
      <c r="QY27" s="334"/>
      <c r="QZ27" s="334"/>
      <c r="RA27" s="334"/>
      <c r="RB27" s="334"/>
      <c r="RC27" s="334"/>
      <c r="RD27" s="334"/>
      <c r="RE27" s="334"/>
      <c r="RF27" s="334"/>
      <c r="RG27" s="334"/>
      <c r="RH27" s="334"/>
      <c r="RI27" s="334"/>
      <c r="RJ27" s="334"/>
      <c r="RK27" s="334"/>
      <c r="RL27" s="334"/>
      <c r="RM27" s="334"/>
      <c r="RN27" s="334"/>
      <c r="RO27" s="334"/>
      <c r="RP27" s="334"/>
      <c r="RQ27" s="334"/>
      <c r="RR27" s="334"/>
      <c r="RS27" s="334"/>
      <c r="RT27" s="334"/>
      <c r="RU27" s="334"/>
      <c r="RV27" s="334"/>
      <c r="RW27" s="334"/>
      <c r="RX27" s="334"/>
      <c r="RY27" s="334"/>
      <c r="RZ27" s="334"/>
      <c r="SA27" s="334"/>
      <c r="SB27" s="334"/>
      <c r="SC27" s="334"/>
      <c r="SD27" s="334"/>
      <c r="SE27" s="334"/>
      <c r="SF27" s="334"/>
      <c r="SG27" s="334"/>
      <c r="SH27" s="334"/>
      <c r="SI27" s="334"/>
      <c r="SJ27" s="334"/>
      <c r="SK27" s="334"/>
      <c r="SL27" s="334"/>
      <c r="SM27" s="334"/>
      <c r="SN27" s="334"/>
      <c r="SO27" s="334"/>
      <c r="SP27" s="334"/>
      <c r="SQ27" s="334"/>
      <c r="SR27" s="334"/>
      <c r="SS27" s="334"/>
      <c r="ST27" s="334"/>
      <c r="SU27" s="334"/>
      <c r="SV27" s="334"/>
      <c r="SW27" s="334"/>
      <c r="SX27" s="334"/>
      <c r="SY27" s="334"/>
      <c r="SZ27" s="334"/>
      <c r="TA27" s="334"/>
      <c r="TB27" s="334"/>
      <c r="TC27" s="334"/>
      <c r="TD27" s="334"/>
      <c r="TE27" s="334"/>
      <c r="TF27" s="334"/>
      <c r="TG27" s="334"/>
      <c r="TH27" s="334"/>
      <c r="TI27" s="334"/>
      <c r="TJ27" s="334"/>
      <c r="TK27" s="334"/>
      <c r="TL27" s="334"/>
      <c r="TM27" s="334"/>
      <c r="TN27" s="334"/>
      <c r="TO27" s="334"/>
      <c r="TP27" s="334"/>
      <c r="TQ27" s="334"/>
      <c r="TR27" s="334"/>
      <c r="TS27" s="334"/>
      <c r="TT27" s="334"/>
      <c r="TU27" s="334"/>
      <c r="TV27" s="334"/>
      <c r="TW27" s="334"/>
      <c r="TX27" s="334"/>
      <c r="TY27" s="334"/>
      <c r="TZ27" s="334"/>
      <c r="UA27" s="334"/>
      <c r="UB27" s="334"/>
      <c r="UC27" s="334"/>
      <c r="UD27" s="334"/>
      <c r="UE27" s="334"/>
      <c r="UF27" s="334"/>
      <c r="UG27" s="334"/>
      <c r="UH27" s="334"/>
      <c r="UI27" s="334"/>
      <c r="UJ27" s="334"/>
      <c r="UK27" s="334"/>
      <c r="UL27" s="334"/>
      <c r="UM27" s="334"/>
      <c r="UN27" s="334"/>
      <c r="UO27" s="334"/>
      <c r="UP27" s="334"/>
      <c r="UQ27" s="334"/>
      <c r="UR27" s="334"/>
      <c r="US27" s="334"/>
      <c r="UT27" s="334"/>
      <c r="UU27" s="334"/>
      <c r="UV27" s="334"/>
      <c r="UW27" s="334"/>
      <c r="UX27" s="334"/>
      <c r="UY27" s="334"/>
      <c r="UZ27" s="334"/>
      <c r="VA27" s="334"/>
      <c r="VB27" s="334"/>
      <c r="VC27" s="334"/>
      <c r="VD27" s="334"/>
      <c r="VE27" s="334"/>
      <c r="VF27" s="334"/>
      <c r="VG27" s="334"/>
      <c r="VH27" s="334"/>
      <c r="VI27" s="334"/>
      <c r="VJ27" s="334"/>
      <c r="VK27" s="334"/>
      <c r="VL27" s="334"/>
      <c r="VM27" s="334"/>
      <c r="VN27" s="334"/>
      <c r="VO27" s="334"/>
      <c r="VP27" s="334"/>
      <c r="VQ27" s="334"/>
      <c r="VR27" s="334"/>
      <c r="VS27" s="334"/>
      <c r="VT27" s="334"/>
      <c r="VU27" s="334"/>
      <c r="VV27" s="334"/>
      <c r="VW27" s="334"/>
      <c r="VX27" s="334"/>
      <c r="VY27" s="334"/>
      <c r="VZ27" s="334"/>
      <c r="WA27" s="334"/>
      <c r="WB27" s="334"/>
      <c r="WC27" s="334"/>
      <c r="WD27" s="334"/>
      <c r="WE27" s="334"/>
      <c r="WF27" s="334"/>
      <c r="WG27" s="334"/>
      <c r="WH27" s="334"/>
      <c r="WI27" s="334"/>
      <c r="WJ27" s="334"/>
      <c r="WK27" s="334"/>
      <c r="WL27" s="334"/>
      <c r="WM27" s="334"/>
      <c r="WN27" s="334"/>
      <c r="WO27" s="334"/>
      <c r="WP27" s="334"/>
      <c r="WQ27" s="334"/>
      <c r="WR27" s="334"/>
      <c r="WS27" s="334"/>
      <c r="WT27" s="334"/>
      <c r="WU27" s="334"/>
      <c r="WV27" s="334"/>
      <c r="WW27" s="334"/>
      <c r="WX27" s="334"/>
      <c r="WY27" s="334"/>
      <c r="WZ27" s="334"/>
      <c r="XA27" s="334"/>
      <c r="XB27" s="334"/>
      <c r="XC27" s="334"/>
      <c r="XD27" s="334"/>
      <c r="XE27" s="334"/>
      <c r="XF27" s="334"/>
      <c r="XG27" s="334"/>
      <c r="XH27" s="334"/>
      <c r="XI27" s="334"/>
      <c r="XJ27" s="334"/>
      <c r="XK27" s="334"/>
      <c r="XL27" s="334"/>
      <c r="XM27" s="334"/>
      <c r="XN27" s="334"/>
      <c r="XO27" s="334"/>
      <c r="XP27" s="334"/>
      <c r="XQ27" s="334"/>
      <c r="XR27" s="334"/>
      <c r="XS27" s="334"/>
      <c r="XT27" s="334"/>
      <c r="XU27" s="334"/>
      <c r="XV27" s="334"/>
      <c r="XW27" s="334"/>
      <c r="XX27" s="334"/>
      <c r="XY27" s="334"/>
      <c r="XZ27" s="334"/>
      <c r="YA27" s="334"/>
      <c r="YB27" s="334"/>
      <c r="YC27" s="334"/>
      <c r="YD27" s="334"/>
      <c r="YE27" s="334"/>
      <c r="YF27" s="334"/>
      <c r="YG27" s="334"/>
      <c r="YH27" s="334"/>
      <c r="YI27" s="334"/>
      <c r="YJ27" s="334"/>
      <c r="YK27" s="334"/>
      <c r="YL27" s="334"/>
      <c r="YM27" s="334"/>
      <c r="YN27" s="334"/>
      <c r="YO27" s="334"/>
      <c r="YP27" s="334"/>
      <c r="YQ27" s="334"/>
      <c r="YR27" s="334"/>
      <c r="YS27" s="334"/>
      <c r="YT27" s="334"/>
      <c r="YU27" s="334"/>
      <c r="YV27" s="334"/>
      <c r="YW27" s="334"/>
      <c r="YX27" s="334"/>
      <c r="YY27" s="334"/>
      <c r="YZ27" s="334"/>
      <c r="ZA27" s="334"/>
      <c r="ZB27" s="334"/>
      <c r="ZC27" s="334"/>
      <c r="ZD27" s="334"/>
      <c r="ZE27" s="334"/>
      <c r="ZF27" s="334"/>
      <c r="ZG27" s="334"/>
      <c r="ZH27" s="334"/>
      <c r="ZI27" s="334"/>
      <c r="ZJ27" s="334"/>
      <c r="ZK27" s="334"/>
      <c r="ZL27" s="334"/>
      <c r="ZM27" s="334"/>
      <c r="ZN27" s="334"/>
      <c r="ZO27" s="334"/>
      <c r="ZP27" s="334"/>
      <c r="ZQ27" s="334"/>
      <c r="ZR27" s="334"/>
      <c r="ZS27" s="334"/>
      <c r="ZT27" s="334"/>
      <c r="ZU27" s="334"/>
      <c r="ZV27" s="334"/>
      <c r="ZW27" s="334"/>
      <c r="ZX27" s="334"/>
      <c r="ZY27" s="334"/>
      <c r="ZZ27" s="334"/>
      <c r="AAA27" s="334"/>
      <c r="AAB27" s="334"/>
      <c r="AAC27" s="334"/>
      <c r="AAD27" s="334"/>
      <c r="AAE27" s="334"/>
      <c r="AAF27" s="334"/>
      <c r="AAG27" s="334"/>
      <c r="AAH27" s="334"/>
      <c r="AAI27" s="334"/>
      <c r="AAJ27" s="334"/>
      <c r="AAK27" s="334"/>
      <c r="AAL27" s="334"/>
      <c r="AAM27" s="334"/>
      <c r="AAN27" s="334"/>
      <c r="AAO27" s="334"/>
      <c r="AAP27" s="334"/>
      <c r="AAQ27" s="334"/>
      <c r="AAR27" s="334"/>
      <c r="AAS27" s="334"/>
      <c r="AAT27" s="334"/>
      <c r="AAU27" s="334"/>
      <c r="AAV27" s="334"/>
      <c r="AAW27" s="334"/>
      <c r="AAX27" s="334"/>
      <c r="AAY27" s="334"/>
      <c r="AAZ27" s="334"/>
      <c r="ABA27" s="334"/>
      <c r="ABB27" s="334"/>
      <c r="ABC27" s="334"/>
      <c r="ABD27" s="334"/>
      <c r="ABE27" s="334"/>
      <c r="ABF27" s="334"/>
      <c r="ABG27" s="334"/>
      <c r="ABH27" s="334"/>
      <c r="ABI27" s="334"/>
      <c r="ABJ27" s="334"/>
      <c r="ABK27" s="334"/>
      <c r="ABL27" s="334"/>
      <c r="ABM27" s="334"/>
      <c r="ABN27" s="334"/>
      <c r="ABO27" s="334"/>
      <c r="ABP27" s="334"/>
      <c r="ABQ27" s="334"/>
      <c r="ABR27" s="334"/>
      <c r="ABS27" s="334"/>
      <c r="ABT27" s="334"/>
      <c r="ABU27" s="334"/>
      <c r="ABV27" s="334"/>
      <c r="ABW27" s="334"/>
      <c r="ABX27" s="334"/>
      <c r="ABY27" s="334"/>
      <c r="ABZ27" s="334"/>
      <c r="ACA27" s="334"/>
      <c r="ACB27" s="334"/>
      <c r="ACC27" s="334"/>
      <c r="ACD27" s="334"/>
      <c r="ACE27" s="334"/>
      <c r="ACF27" s="334"/>
      <c r="ACG27" s="334"/>
      <c r="ACH27" s="334"/>
      <c r="ACI27" s="334"/>
      <c r="ACJ27" s="334"/>
      <c r="ACK27" s="334"/>
      <c r="ACL27" s="334"/>
      <c r="ACM27" s="334"/>
      <c r="ACN27" s="334"/>
      <c r="ACO27" s="334"/>
      <c r="ACP27" s="334"/>
      <c r="ACQ27" s="334"/>
      <c r="ACR27" s="334"/>
      <c r="ACS27" s="334"/>
      <c r="ACT27" s="334"/>
      <c r="ACU27" s="334"/>
      <c r="ACV27" s="334"/>
      <c r="ACW27" s="334"/>
      <c r="ACX27" s="334"/>
      <c r="ACY27" s="334"/>
      <c r="ACZ27" s="334"/>
      <c r="ADA27" s="334"/>
      <c r="ADB27" s="334"/>
      <c r="ADC27" s="334"/>
      <c r="ADD27" s="334"/>
      <c r="ADE27" s="334"/>
      <c r="ADF27" s="334"/>
      <c r="ADG27" s="334"/>
      <c r="ADH27" s="334"/>
      <c r="ADI27" s="334"/>
      <c r="ADJ27" s="334"/>
      <c r="ADK27" s="334"/>
      <c r="ADL27" s="334"/>
      <c r="ADM27" s="334"/>
      <c r="ADN27" s="334"/>
      <c r="ADO27" s="334"/>
      <c r="ADP27" s="334"/>
      <c r="ADQ27" s="334"/>
      <c r="ADR27" s="334"/>
      <c r="ADS27" s="334"/>
      <c r="ADT27" s="334"/>
      <c r="ADU27" s="334"/>
      <c r="ADV27" s="334"/>
      <c r="ADW27" s="334"/>
      <c r="ADX27" s="334"/>
      <c r="ADY27" s="334"/>
      <c r="ADZ27" s="334"/>
      <c r="AEA27" s="334"/>
      <c r="AEB27" s="334"/>
      <c r="AEC27" s="334"/>
      <c r="AED27" s="334"/>
      <c r="AEE27" s="334"/>
      <c r="AEF27" s="334"/>
      <c r="AEG27" s="334"/>
      <c r="AEH27" s="334"/>
      <c r="AEI27" s="334"/>
      <c r="AEJ27" s="334"/>
      <c r="AEK27" s="334"/>
      <c r="AEL27" s="334"/>
      <c r="AEM27" s="334"/>
      <c r="AEN27" s="334"/>
      <c r="AEO27" s="334"/>
      <c r="AEP27" s="334"/>
      <c r="AEQ27" s="334"/>
      <c r="AER27" s="334"/>
      <c r="AES27" s="334"/>
      <c r="AET27" s="334"/>
      <c r="AEU27" s="334"/>
      <c r="AEV27" s="334"/>
      <c r="AEW27" s="334"/>
      <c r="AEX27" s="334"/>
      <c r="AEY27" s="334"/>
      <c r="AEZ27" s="334"/>
      <c r="AFA27" s="334"/>
      <c r="AFB27" s="334"/>
      <c r="AFC27" s="334"/>
      <c r="AFD27" s="334"/>
      <c r="AFE27" s="334"/>
      <c r="AFF27" s="334"/>
      <c r="AFG27" s="334"/>
      <c r="AFH27" s="334"/>
      <c r="AFI27" s="334"/>
      <c r="AFJ27" s="334"/>
      <c r="AFK27" s="334"/>
      <c r="AFL27" s="334"/>
      <c r="AFM27" s="334"/>
      <c r="AFN27" s="334"/>
      <c r="AFO27" s="334"/>
      <c r="AFP27" s="334"/>
      <c r="AFQ27" s="334"/>
      <c r="AFR27" s="334"/>
      <c r="AFS27" s="334"/>
      <c r="AFT27" s="334"/>
      <c r="AFU27" s="334"/>
      <c r="AFV27" s="334"/>
      <c r="AFW27" s="334"/>
      <c r="AFX27" s="334"/>
      <c r="AFY27" s="334"/>
      <c r="AFZ27" s="334"/>
      <c r="AGA27" s="334"/>
      <c r="AGB27" s="334"/>
      <c r="AGC27" s="334"/>
      <c r="AGD27" s="334"/>
      <c r="AGE27" s="334"/>
      <c r="AGF27" s="334"/>
      <c r="AGG27" s="334"/>
      <c r="AGH27" s="334"/>
      <c r="AGI27" s="334"/>
      <c r="AGJ27" s="334"/>
      <c r="AGK27" s="334"/>
      <c r="AGL27" s="334"/>
      <c r="AGM27" s="334"/>
      <c r="AGN27" s="334"/>
      <c r="AGO27" s="334"/>
      <c r="AGP27" s="334"/>
      <c r="AGQ27" s="334"/>
      <c r="AGR27" s="334"/>
      <c r="AGS27" s="334"/>
      <c r="AGT27" s="334"/>
      <c r="AGU27" s="334"/>
      <c r="AGV27" s="334"/>
      <c r="AGW27" s="334"/>
      <c r="AGX27" s="334"/>
      <c r="AGY27" s="334"/>
      <c r="AGZ27" s="334"/>
      <c r="AHA27" s="334"/>
      <c r="AHB27" s="334"/>
      <c r="AHC27" s="334"/>
      <c r="AHD27" s="334"/>
      <c r="AHE27" s="334"/>
      <c r="AHF27" s="334"/>
      <c r="AHG27" s="334"/>
      <c r="AHH27" s="334"/>
      <c r="AHI27" s="334"/>
      <c r="AHJ27" s="334"/>
      <c r="AHK27" s="334"/>
      <c r="AHL27" s="334"/>
      <c r="AHM27" s="334"/>
      <c r="AHN27" s="334"/>
      <c r="AHO27" s="334"/>
      <c r="AHP27" s="334"/>
      <c r="AHQ27" s="334"/>
      <c r="AHR27" s="334"/>
      <c r="AHS27" s="334"/>
      <c r="AHT27" s="334"/>
      <c r="AHU27" s="334"/>
      <c r="AHV27" s="334"/>
      <c r="AHW27" s="334"/>
      <c r="AHX27" s="334"/>
      <c r="AHY27" s="334"/>
      <c r="AHZ27" s="334"/>
      <c r="AIA27" s="334"/>
      <c r="AIB27" s="334"/>
      <c r="AIC27" s="334"/>
      <c r="AID27" s="334"/>
      <c r="AIE27" s="334"/>
      <c r="AIF27" s="334"/>
      <c r="AIG27" s="334"/>
      <c r="AIH27" s="334"/>
      <c r="AII27" s="334"/>
      <c r="AIJ27" s="334"/>
      <c r="AIK27" s="334"/>
      <c r="AIL27" s="334"/>
      <c r="AIM27" s="334"/>
      <c r="AIN27" s="334"/>
      <c r="AIO27" s="334"/>
      <c r="AIP27" s="334"/>
      <c r="AIQ27" s="334"/>
      <c r="AIR27" s="334"/>
      <c r="AIS27" s="334"/>
      <c r="AIT27" s="334"/>
      <c r="AIU27" s="334"/>
      <c r="AIV27" s="334"/>
      <c r="AIW27" s="334"/>
      <c r="AIX27" s="334"/>
      <c r="AIY27" s="334"/>
      <c r="AIZ27" s="334"/>
      <c r="AJA27" s="334"/>
      <c r="AJB27" s="334"/>
      <c r="AJC27" s="334"/>
      <c r="AJD27" s="334"/>
      <c r="AJE27" s="334"/>
      <c r="AJF27" s="334"/>
      <c r="AJG27" s="334"/>
      <c r="AJH27" s="334"/>
      <c r="AJI27" s="334"/>
      <c r="AJJ27" s="334"/>
      <c r="AJK27" s="334"/>
      <c r="AJL27" s="334"/>
      <c r="AJM27" s="334"/>
      <c r="AJN27" s="334"/>
      <c r="AJO27" s="334"/>
      <c r="AJP27" s="334"/>
      <c r="AJQ27" s="334"/>
      <c r="AJR27" s="334"/>
      <c r="AJS27" s="334"/>
      <c r="AJT27" s="334"/>
      <c r="AJU27" s="334"/>
      <c r="AJV27" s="334"/>
      <c r="AJW27" s="334"/>
      <c r="AJX27" s="334"/>
      <c r="AJY27" s="334"/>
      <c r="AJZ27" s="334"/>
      <c r="AKA27" s="334"/>
      <c r="AKB27" s="334"/>
      <c r="AKC27" s="334"/>
      <c r="AKD27" s="334"/>
      <c r="AKE27" s="334"/>
      <c r="AKF27" s="334"/>
      <c r="AKG27" s="334"/>
      <c r="AKH27" s="334"/>
      <c r="AKI27" s="334"/>
      <c r="AKJ27" s="334"/>
      <c r="AKK27" s="334"/>
      <c r="AKL27" s="334"/>
      <c r="AKM27" s="334"/>
      <c r="AKN27" s="334"/>
      <c r="AKO27" s="334"/>
      <c r="AKP27" s="334"/>
      <c r="AKQ27" s="334"/>
      <c r="AKR27" s="334"/>
      <c r="AKS27" s="334"/>
      <c r="AKT27" s="334"/>
      <c r="AKU27" s="334"/>
      <c r="AKV27" s="334"/>
      <c r="AKW27" s="334"/>
      <c r="AKX27" s="334"/>
      <c r="AKY27" s="334"/>
      <c r="AKZ27" s="334"/>
      <c r="ALA27" s="334"/>
      <c r="ALB27" s="334"/>
      <c r="ALC27" s="334"/>
      <c r="ALD27" s="334"/>
      <c r="ALE27" s="334"/>
      <c r="ALF27" s="334"/>
      <c r="ALG27" s="334"/>
      <c r="ALH27" s="334"/>
      <c r="ALI27" s="334"/>
      <c r="ALJ27" s="334"/>
      <c r="ALK27" s="334"/>
      <c r="ALL27" s="334"/>
      <c r="ALM27" s="334"/>
      <c r="ALN27" s="334"/>
      <c r="ALO27" s="334"/>
      <c r="ALP27" s="334"/>
      <c r="ALQ27" s="334"/>
      <c r="ALR27" s="334"/>
      <c r="ALS27" s="334"/>
      <c r="ALT27" s="334"/>
      <c r="ALU27" s="334"/>
      <c r="ALV27" s="334"/>
      <c r="ALW27" s="334"/>
      <c r="ALX27" s="334"/>
      <c r="ALY27" s="334"/>
      <c r="ALZ27" s="334"/>
      <c r="AMA27" s="334"/>
      <c r="AMB27" s="334"/>
      <c r="AMC27" s="334"/>
      <c r="AMD27" s="334"/>
      <c r="AME27" s="334"/>
      <c r="AMF27" s="334"/>
      <c r="AMG27" s="334"/>
      <c r="AMH27" s="334"/>
      <c r="AMI27" s="334"/>
      <c r="AMJ27" s="334"/>
      <c r="AMK27" s="334"/>
      <c r="AML27" s="334"/>
      <c r="AMM27" s="334"/>
      <c r="AMN27" s="334"/>
      <c r="AMO27" s="334"/>
      <c r="AMP27" s="334"/>
      <c r="AMQ27" s="334"/>
      <c r="AMR27" s="334"/>
      <c r="AMS27" s="334"/>
      <c r="AMT27" s="334"/>
      <c r="AMU27" s="334"/>
      <c r="AMV27" s="334"/>
      <c r="AMW27" s="334"/>
      <c r="AMX27" s="334"/>
      <c r="AMY27" s="334"/>
      <c r="AMZ27" s="334"/>
    </row>
    <row r="28" spans="1:1040" s="333" customFormat="1" ht="26.25" customHeight="1" x14ac:dyDescent="0.25">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5"/>
      <c r="AA28" s="335"/>
      <c r="AB28" s="335"/>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34"/>
      <c r="CA28" s="334"/>
      <c r="CB28" s="334"/>
      <c r="CC28" s="334"/>
      <c r="CD28" s="334"/>
      <c r="CE28" s="334"/>
      <c r="CF28" s="334"/>
      <c r="CG28" s="334"/>
      <c r="CH28" s="334"/>
      <c r="CI28" s="334"/>
      <c r="CJ28" s="334"/>
      <c r="CK28" s="334"/>
      <c r="CL28" s="334"/>
      <c r="CM28" s="334"/>
      <c r="CN28" s="334"/>
      <c r="CO28" s="334"/>
      <c r="CP28" s="334"/>
      <c r="CQ28" s="334"/>
      <c r="CR28" s="334"/>
      <c r="CS28" s="334"/>
      <c r="CT28" s="334"/>
      <c r="CU28" s="334"/>
      <c r="CV28" s="334"/>
      <c r="CW28" s="334"/>
      <c r="CX28" s="334"/>
      <c r="CY28" s="334"/>
      <c r="CZ28" s="334"/>
      <c r="DA28" s="334"/>
      <c r="DB28" s="334"/>
      <c r="DC28" s="334"/>
      <c r="DD28" s="334"/>
      <c r="DE28" s="334"/>
      <c r="DF28" s="334"/>
      <c r="DG28" s="334"/>
      <c r="DH28" s="334"/>
      <c r="DI28" s="334"/>
      <c r="DJ28" s="334"/>
      <c r="DK28" s="334"/>
      <c r="DL28" s="334"/>
      <c r="DM28" s="334"/>
      <c r="DN28" s="334"/>
      <c r="DO28" s="334"/>
      <c r="DP28" s="334"/>
      <c r="DQ28" s="334"/>
      <c r="DR28" s="334"/>
      <c r="DS28" s="334"/>
      <c r="DT28" s="334"/>
      <c r="DU28" s="334"/>
      <c r="DV28" s="334"/>
      <c r="DW28" s="334"/>
      <c r="DX28" s="334"/>
      <c r="DY28" s="334"/>
      <c r="DZ28" s="334"/>
      <c r="EA28" s="334"/>
      <c r="EB28" s="334"/>
      <c r="EC28" s="334"/>
      <c r="ED28" s="334"/>
      <c r="EE28" s="334"/>
      <c r="EF28" s="334"/>
      <c r="EG28" s="334"/>
      <c r="EH28" s="334"/>
      <c r="EI28" s="334"/>
      <c r="EJ28" s="334"/>
      <c r="EK28" s="334"/>
      <c r="EL28" s="334"/>
      <c r="EM28" s="334"/>
      <c r="EN28" s="334"/>
      <c r="EO28" s="334"/>
      <c r="EP28" s="334"/>
      <c r="EQ28" s="334"/>
      <c r="ER28" s="334"/>
      <c r="ES28" s="334"/>
      <c r="ET28" s="334"/>
      <c r="EU28" s="334"/>
      <c r="EV28" s="334"/>
      <c r="EW28" s="334"/>
      <c r="EX28" s="334"/>
      <c r="EY28" s="334"/>
      <c r="EZ28" s="334"/>
      <c r="FA28" s="334"/>
      <c r="FB28" s="334"/>
      <c r="FC28" s="334"/>
      <c r="FD28" s="334"/>
      <c r="FE28" s="334"/>
      <c r="FF28" s="334"/>
      <c r="FG28" s="334"/>
      <c r="FH28" s="334"/>
      <c r="FI28" s="334"/>
      <c r="FJ28" s="334"/>
      <c r="FK28" s="334"/>
      <c r="FL28" s="334"/>
      <c r="FM28" s="334"/>
      <c r="FN28" s="334"/>
      <c r="FO28" s="334"/>
      <c r="FP28" s="334"/>
      <c r="FQ28" s="334"/>
      <c r="FR28" s="334"/>
      <c r="FS28" s="334"/>
      <c r="FT28" s="334"/>
      <c r="FU28" s="334"/>
      <c r="FV28" s="334"/>
      <c r="FW28" s="334"/>
      <c r="FX28" s="334"/>
      <c r="FY28" s="334"/>
      <c r="FZ28" s="334"/>
      <c r="GA28" s="334"/>
      <c r="GB28" s="334"/>
      <c r="GC28" s="334"/>
      <c r="GD28" s="334"/>
      <c r="GE28" s="334"/>
      <c r="GF28" s="334"/>
      <c r="GG28" s="334"/>
      <c r="GH28" s="334"/>
      <c r="GI28" s="334"/>
      <c r="GJ28" s="334"/>
      <c r="GK28" s="334"/>
      <c r="GL28" s="334"/>
      <c r="GM28" s="334"/>
      <c r="GN28" s="334"/>
      <c r="GO28" s="334"/>
      <c r="GP28" s="334"/>
      <c r="GQ28" s="334"/>
      <c r="GR28" s="334"/>
      <c r="GS28" s="334"/>
      <c r="GT28" s="334"/>
      <c r="GU28" s="334"/>
      <c r="GV28" s="334"/>
      <c r="GW28" s="334"/>
      <c r="GX28" s="334"/>
      <c r="GY28" s="334"/>
      <c r="GZ28" s="334"/>
      <c r="HA28" s="334"/>
      <c r="HB28" s="334"/>
      <c r="HC28" s="334"/>
      <c r="HD28" s="334"/>
      <c r="HE28" s="334"/>
      <c r="HF28" s="334"/>
      <c r="HG28" s="334"/>
      <c r="HH28" s="334"/>
      <c r="HI28" s="334"/>
      <c r="HJ28" s="334"/>
      <c r="HK28" s="334"/>
      <c r="HL28" s="334"/>
      <c r="HM28" s="334"/>
      <c r="HN28" s="334"/>
      <c r="HO28" s="334"/>
      <c r="HP28" s="334"/>
      <c r="HQ28" s="334"/>
      <c r="HR28" s="334"/>
      <c r="HS28" s="334"/>
      <c r="HT28" s="334"/>
      <c r="HU28" s="334"/>
      <c r="HV28" s="334"/>
      <c r="HW28" s="334"/>
      <c r="HX28" s="334"/>
      <c r="HY28" s="334"/>
      <c r="HZ28" s="334"/>
      <c r="IA28" s="334"/>
      <c r="IB28" s="334"/>
      <c r="IC28" s="334"/>
      <c r="ID28" s="334"/>
      <c r="IE28" s="334"/>
      <c r="IF28" s="334"/>
      <c r="IG28" s="334"/>
      <c r="IH28" s="334"/>
      <c r="II28" s="334"/>
      <c r="IJ28" s="334"/>
      <c r="IK28" s="334"/>
      <c r="IL28" s="334"/>
      <c r="IM28" s="334"/>
      <c r="IN28" s="334"/>
      <c r="IO28" s="334"/>
      <c r="IP28" s="334"/>
      <c r="IQ28" s="334"/>
      <c r="IR28" s="334"/>
      <c r="IS28" s="334"/>
      <c r="IT28" s="334"/>
      <c r="IU28" s="334"/>
      <c r="IV28" s="334"/>
      <c r="IW28" s="334"/>
      <c r="IX28" s="334"/>
      <c r="IY28" s="334"/>
      <c r="IZ28" s="334"/>
      <c r="JA28" s="334"/>
      <c r="JB28" s="334"/>
      <c r="JC28" s="334"/>
      <c r="JD28" s="334"/>
      <c r="JE28" s="334"/>
      <c r="JF28" s="334"/>
      <c r="JG28" s="334"/>
      <c r="JH28" s="334"/>
      <c r="JI28" s="334"/>
      <c r="JJ28" s="334"/>
      <c r="JK28" s="334"/>
      <c r="JL28" s="334"/>
      <c r="JM28" s="334"/>
      <c r="JN28" s="334"/>
      <c r="JO28" s="334"/>
      <c r="JP28" s="334"/>
      <c r="JQ28" s="334"/>
      <c r="JR28" s="334"/>
      <c r="JS28" s="334"/>
      <c r="JT28" s="334"/>
      <c r="JU28" s="334"/>
      <c r="JV28" s="334"/>
      <c r="JW28" s="334"/>
      <c r="JX28" s="334"/>
      <c r="JY28" s="334"/>
      <c r="JZ28" s="334"/>
      <c r="KA28" s="334"/>
      <c r="KB28" s="334"/>
      <c r="KC28" s="334"/>
      <c r="KD28" s="334"/>
      <c r="KE28" s="334"/>
      <c r="KF28" s="334"/>
      <c r="KG28" s="334"/>
      <c r="KH28" s="334"/>
      <c r="KI28" s="334"/>
      <c r="KJ28" s="334"/>
      <c r="KK28" s="334"/>
      <c r="KL28" s="334"/>
      <c r="KM28" s="334"/>
      <c r="KN28" s="334"/>
      <c r="KO28" s="334"/>
      <c r="KP28" s="334"/>
      <c r="KQ28" s="334"/>
      <c r="KR28" s="334"/>
      <c r="KS28" s="334"/>
      <c r="KT28" s="334"/>
      <c r="KU28" s="334"/>
      <c r="KV28" s="334"/>
      <c r="KW28" s="334"/>
      <c r="KX28" s="334"/>
      <c r="KY28" s="334"/>
      <c r="KZ28" s="334"/>
      <c r="LA28" s="334"/>
      <c r="LB28" s="334"/>
      <c r="LC28" s="334"/>
      <c r="LD28" s="334"/>
      <c r="LE28" s="334"/>
      <c r="LF28" s="334"/>
      <c r="LG28" s="334"/>
      <c r="LH28" s="334"/>
      <c r="LI28" s="334"/>
      <c r="LJ28" s="334"/>
      <c r="LK28" s="334"/>
      <c r="LL28" s="334"/>
      <c r="LM28" s="334"/>
      <c r="LN28" s="334"/>
      <c r="LO28" s="334"/>
      <c r="LP28" s="334"/>
      <c r="LQ28" s="334"/>
      <c r="LR28" s="334"/>
      <c r="LS28" s="334"/>
      <c r="LT28" s="334"/>
      <c r="LU28" s="334"/>
      <c r="LV28" s="334"/>
      <c r="LW28" s="334"/>
      <c r="LX28" s="334"/>
      <c r="LY28" s="334"/>
      <c r="LZ28" s="334"/>
      <c r="MA28" s="334"/>
      <c r="MB28" s="334"/>
      <c r="MC28" s="334"/>
      <c r="MD28" s="334"/>
      <c r="ME28" s="334"/>
      <c r="MF28" s="334"/>
      <c r="MG28" s="334"/>
      <c r="MH28" s="334"/>
      <c r="MI28" s="334"/>
      <c r="MJ28" s="334"/>
      <c r="MK28" s="334"/>
      <c r="ML28" s="334"/>
      <c r="MM28" s="334"/>
      <c r="MN28" s="334"/>
      <c r="MO28" s="334"/>
      <c r="MP28" s="334"/>
      <c r="MQ28" s="334"/>
      <c r="MR28" s="334"/>
      <c r="MS28" s="334"/>
      <c r="MT28" s="334"/>
      <c r="MU28" s="334"/>
      <c r="MV28" s="334"/>
      <c r="MW28" s="334"/>
      <c r="MX28" s="334"/>
      <c r="MY28" s="334"/>
      <c r="MZ28" s="334"/>
      <c r="NA28" s="334"/>
      <c r="NB28" s="334"/>
      <c r="NC28" s="334"/>
      <c r="ND28" s="334"/>
      <c r="NE28" s="334"/>
      <c r="NF28" s="334"/>
      <c r="NG28" s="334"/>
      <c r="NH28" s="334"/>
      <c r="NI28" s="334"/>
      <c r="NJ28" s="334"/>
      <c r="NK28" s="334"/>
      <c r="NL28" s="334"/>
      <c r="NM28" s="334"/>
      <c r="NN28" s="334"/>
      <c r="NO28" s="334"/>
      <c r="NP28" s="334"/>
      <c r="NQ28" s="334"/>
      <c r="NR28" s="334"/>
      <c r="NS28" s="334"/>
      <c r="NT28" s="334"/>
      <c r="NU28" s="334"/>
      <c r="NV28" s="334"/>
      <c r="NW28" s="334"/>
      <c r="NX28" s="334"/>
      <c r="NY28" s="334"/>
      <c r="NZ28" s="334"/>
      <c r="OA28" s="334"/>
      <c r="OB28" s="334"/>
      <c r="OC28" s="334"/>
      <c r="OD28" s="334"/>
      <c r="OE28" s="334"/>
      <c r="OF28" s="334"/>
      <c r="OG28" s="334"/>
      <c r="OH28" s="334"/>
      <c r="OI28" s="334"/>
      <c r="OJ28" s="334"/>
      <c r="OK28" s="334"/>
      <c r="OL28" s="334"/>
      <c r="OM28" s="334"/>
      <c r="ON28" s="334"/>
      <c r="OO28" s="334"/>
      <c r="OP28" s="334"/>
      <c r="OQ28" s="334"/>
      <c r="OR28" s="334"/>
      <c r="OS28" s="334"/>
      <c r="OT28" s="334"/>
      <c r="OU28" s="334"/>
      <c r="OV28" s="334"/>
      <c r="OW28" s="334"/>
      <c r="OX28" s="334"/>
      <c r="OY28" s="334"/>
      <c r="OZ28" s="334"/>
      <c r="PA28" s="334"/>
      <c r="PB28" s="334"/>
      <c r="PC28" s="334"/>
      <c r="PD28" s="334"/>
      <c r="PE28" s="334"/>
      <c r="PF28" s="334"/>
      <c r="PG28" s="334"/>
      <c r="PH28" s="334"/>
      <c r="PI28" s="334"/>
      <c r="PJ28" s="334"/>
      <c r="PK28" s="334"/>
      <c r="PL28" s="334"/>
      <c r="PM28" s="334"/>
      <c r="PN28" s="334"/>
      <c r="PO28" s="334"/>
      <c r="PP28" s="334"/>
      <c r="PQ28" s="334"/>
      <c r="PR28" s="334"/>
      <c r="PS28" s="334"/>
      <c r="PT28" s="334"/>
      <c r="PU28" s="334"/>
      <c r="PV28" s="334"/>
      <c r="PW28" s="334"/>
      <c r="PX28" s="334"/>
      <c r="PY28" s="334"/>
      <c r="PZ28" s="334"/>
      <c r="QA28" s="334"/>
      <c r="QB28" s="334"/>
      <c r="QC28" s="334"/>
      <c r="QD28" s="334"/>
      <c r="QE28" s="334"/>
      <c r="QF28" s="334"/>
      <c r="QG28" s="334"/>
      <c r="QH28" s="334"/>
      <c r="QI28" s="334"/>
      <c r="QJ28" s="334"/>
      <c r="QK28" s="334"/>
      <c r="QL28" s="334"/>
      <c r="QM28" s="334"/>
      <c r="QN28" s="334"/>
      <c r="QO28" s="334"/>
      <c r="QP28" s="334"/>
      <c r="QQ28" s="334"/>
      <c r="QR28" s="334"/>
      <c r="QS28" s="334"/>
      <c r="QT28" s="334"/>
      <c r="QU28" s="334"/>
      <c r="QV28" s="334"/>
      <c r="QW28" s="334"/>
      <c r="QX28" s="334"/>
      <c r="QY28" s="334"/>
      <c r="QZ28" s="334"/>
      <c r="RA28" s="334"/>
      <c r="RB28" s="334"/>
      <c r="RC28" s="334"/>
      <c r="RD28" s="334"/>
      <c r="RE28" s="334"/>
      <c r="RF28" s="334"/>
      <c r="RG28" s="334"/>
      <c r="RH28" s="334"/>
      <c r="RI28" s="334"/>
      <c r="RJ28" s="334"/>
      <c r="RK28" s="334"/>
      <c r="RL28" s="334"/>
      <c r="RM28" s="334"/>
      <c r="RN28" s="334"/>
      <c r="RO28" s="334"/>
      <c r="RP28" s="334"/>
      <c r="RQ28" s="334"/>
      <c r="RR28" s="334"/>
      <c r="RS28" s="334"/>
      <c r="RT28" s="334"/>
      <c r="RU28" s="334"/>
      <c r="RV28" s="334"/>
      <c r="RW28" s="334"/>
      <c r="RX28" s="334"/>
      <c r="RY28" s="334"/>
      <c r="RZ28" s="334"/>
      <c r="SA28" s="334"/>
      <c r="SB28" s="334"/>
      <c r="SC28" s="334"/>
      <c r="SD28" s="334"/>
      <c r="SE28" s="334"/>
      <c r="SF28" s="334"/>
      <c r="SG28" s="334"/>
      <c r="SH28" s="334"/>
      <c r="SI28" s="334"/>
      <c r="SJ28" s="334"/>
      <c r="SK28" s="334"/>
      <c r="SL28" s="334"/>
      <c r="SM28" s="334"/>
      <c r="SN28" s="334"/>
      <c r="SO28" s="334"/>
      <c r="SP28" s="334"/>
      <c r="SQ28" s="334"/>
      <c r="SR28" s="334"/>
      <c r="SS28" s="334"/>
      <c r="ST28" s="334"/>
      <c r="SU28" s="334"/>
      <c r="SV28" s="334"/>
      <c r="SW28" s="334"/>
      <c r="SX28" s="334"/>
      <c r="SY28" s="334"/>
      <c r="SZ28" s="334"/>
      <c r="TA28" s="334"/>
      <c r="TB28" s="334"/>
      <c r="TC28" s="334"/>
      <c r="TD28" s="334"/>
      <c r="TE28" s="334"/>
      <c r="TF28" s="334"/>
      <c r="TG28" s="334"/>
      <c r="TH28" s="334"/>
      <c r="TI28" s="334"/>
      <c r="TJ28" s="334"/>
      <c r="TK28" s="334"/>
      <c r="TL28" s="334"/>
      <c r="TM28" s="334"/>
      <c r="TN28" s="334"/>
      <c r="TO28" s="334"/>
      <c r="TP28" s="334"/>
      <c r="TQ28" s="334"/>
      <c r="TR28" s="334"/>
      <c r="TS28" s="334"/>
      <c r="TT28" s="334"/>
      <c r="TU28" s="334"/>
      <c r="TV28" s="334"/>
      <c r="TW28" s="334"/>
      <c r="TX28" s="334"/>
      <c r="TY28" s="334"/>
      <c r="TZ28" s="334"/>
      <c r="UA28" s="334"/>
      <c r="UB28" s="334"/>
      <c r="UC28" s="334"/>
      <c r="UD28" s="334"/>
      <c r="UE28" s="334"/>
      <c r="UF28" s="334"/>
      <c r="UG28" s="334"/>
      <c r="UH28" s="334"/>
      <c r="UI28" s="334"/>
      <c r="UJ28" s="334"/>
      <c r="UK28" s="334"/>
      <c r="UL28" s="334"/>
      <c r="UM28" s="334"/>
      <c r="UN28" s="334"/>
      <c r="UO28" s="334"/>
      <c r="UP28" s="334"/>
      <c r="UQ28" s="334"/>
      <c r="UR28" s="334"/>
      <c r="US28" s="334"/>
      <c r="UT28" s="334"/>
      <c r="UU28" s="334"/>
      <c r="UV28" s="334"/>
      <c r="UW28" s="334"/>
      <c r="UX28" s="334"/>
      <c r="UY28" s="334"/>
      <c r="UZ28" s="334"/>
      <c r="VA28" s="334"/>
      <c r="VB28" s="334"/>
      <c r="VC28" s="334"/>
      <c r="VD28" s="334"/>
      <c r="VE28" s="334"/>
      <c r="VF28" s="334"/>
      <c r="VG28" s="334"/>
      <c r="VH28" s="334"/>
      <c r="VI28" s="334"/>
      <c r="VJ28" s="334"/>
      <c r="VK28" s="334"/>
      <c r="VL28" s="334"/>
      <c r="VM28" s="334"/>
      <c r="VN28" s="334"/>
      <c r="VO28" s="334"/>
      <c r="VP28" s="334"/>
      <c r="VQ28" s="334"/>
      <c r="VR28" s="334"/>
      <c r="VS28" s="334"/>
      <c r="VT28" s="334"/>
      <c r="VU28" s="334"/>
      <c r="VV28" s="334"/>
      <c r="VW28" s="334"/>
      <c r="VX28" s="334"/>
      <c r="VY28" s="334"/>
      <c r="VZ28" s="334"/>
      <c r="WA28" s="334"/>
      <c r="WB28" s="334"/>
      <c r="WC28" s="334"/>
      <c r="WD28" s="334"/>
      <c r="WE28" s="334"/>
      <c r="WF28" s="334"/>
      <c r="WG28" s="334"/>
      <c r="WH28" s="334"/>
      <c r="WI28" s="334"/>
      <c r="WJ28" s="334"/>
      <c r="WK28" s="334"/>
      <c r="WL28" s="334"/>
      <c r="WM28" s="334"/>
      <c r="WN28" s="334"/>
      <c r="WO28" s="334"/>
      <c r="WP28" s="334"/>
      <c r="WQ28" s="334"/>
      <c r="WR28" s="334"/>
      <c r="WS28" s="334"/>
      <c r="WT28" s="334"/>
      <c r="WU28" s="334"/>
      <c r="WV28" s="334"/>
      <c r="WW28" s="334"/>
      <c r="WX28" s="334"/>
      <c r="WY28" s="334"/>
      <c r="WZ28" s="334"/>
      <c r="XA28" s="334"/>
      <c r="XB28" s="334"/>
      <c r="XC28" s="334"/>
      <c r="XD28" s="334"/>
      <c r="XE28" s="334"/>
      <c r="XF28" s="334"/>
      <c r="XG28" s="334"/>
      <c r="XH28" s="334"/>
      <c r="XI28" s="334"/>
      <c r="XJ28" s="334"/>
      <c r="XK28" s="334"/>
      <c r="XL28" s="334"/>
      <c r="XM28" s="334"/>
      <c r="XN28" s="334"/>
      <c r="XO28" s="334"/>
      <c r="XP28" s="334"/>
      <c r="XQ28" s="334"/>
      <c r="XR28" s="334"/>
      <c r="XS28" s="334"/>
      <c r="XT28" s="334"/>
      <c r="XU28" s="334"/>
      <c r="XV28" s="334"/>
      <c r="XW28" s="334"/>
      <c r="XX28" s="334"/>
      <c r="XY28" s="334"/>
      <c r="XZ28" s="334"/>
      <c r="YA28" s="334"/>
      <c r="YB28" s="334"/>
      <c r="YC28" s="334"/>
      <c r="YD28" s="334"/>
      <c r="YE28" s="334"/>
      <c r="YF28" s="334"/>
      <c r="YG28" s="334"/>
      <c r="YH28" s="334"/>
      <c r="YI28" s="334"/>
      <c r="YJ28" s="334"/>
      <c r="YK28" s="334"/>
      <c r="YL28" s="334"/>
      <c r="YM28" s="334"/>
      <c r="YN28" s="334"/>
      <c r="YO28" s="334"/>
      <c r="YP28" s="334"/>
      <c r="YQ28" s="334"/>
      <c r="YR28" s="334"/>
      <c r="YS28" s="334"/>
      <c r="YT28" s="334"/>
      <c r="YU28" s="334"/>
      <c r="YV28" s="334"/>
      <c r="YW28" s="334"/>
      <c r="YX28" s="334"/>
      <c r="YY28" s="334"/>
      <c r="YZ28" s="334"/>
      <c r="ZA28" s="334"/>
      <c r="ZB28" s="334"/>
      <c r="ZC28" s="334"/>
      <c r="ZD28" s="334"/>
      <c r="ZE28" s="334"/>
      <c r="ZF28" s="334"/>
      <c r="ZG28" s="334"/>
      <c r="ZH28" s="334"/>
      <c r="ZI28" s="334"/>
      <c r="ZJ28" s="334"/>
      <c r="ZK28" s="334"/>
      <c r="ZL28" s="334"/>
      <c r="ZM28" s="334"/>
      <c r="ZN28" s="334"/>
      <c r="ZO28" s="334"/>
      <c r="ZP28" s="334"/>
      <c r="ZQ28" s="334"/>
      <c r="ZR28" s="334"/>
      <c r="ZS28" s="334"/>
      <c r="ZT28" s="334"/>
      <c r="ZU28" s="334"/>
      <c r="ZV28" s="334"/>
      <c r="ZW28" s="334"/>
      <c r="ZX28" s="334"/>
      <c r="ZY28" s="334"/>
      <c r="ZZ28" s="334"/>
      <c r="AAA28" s="334"/>
      <c r="AAB28" s="334"/>
      <c r="AAC28" s="334"/>
      <c r="AAD28" s="334"/>
      <c r="AAE28" s="334"/>
      <c r="AAF28" s="334"/>
      <c r="AAG28" s="334"/>
      <c r="AAH28" s="334"/>
      <c r="AAI28" s="334"/>
      <c r="AAJ28" s="334"/>
      <c r="AAK28" s="334"/>
      <c r="AAL28" s="334"/>
      <c r="AAM28" s="334"/>
      <c r="AAN28" s="334"/>
      <c r="AAO28" s="334"/>
      <c r="AAP28" s="334"/>
      <c r="AAQ28" s="334"/>
      <c r="AAR28" s="334"/>
      <c r="AAS28" s="334"/>
      <c r="AAT28" s="334"/>
      <c r="AAU28" s="334"/>
      <c r="AAV28" s="334"/>
      <c r="AAW28" s="334"/>
      <c r="AAX28" s="334"/>
      <c r="AAY28" s="334"/>
      <c r="AAZ28" s="334"/>
      <c r="ABA28" s="334"/>
      <c r="ABB28" s="334"/>
      <c r="ABC28" s="334"/>
      <c r="ABD28" s="334"/>
      <c r="ABE28" s="334"/>
      <c r="ABF28" s="334"/>
      <c r="ABG28" s="334"/>
      <c r="ABH28" s="334"/>
      <c r="ABI28" s="334"/>
      <c r="ABJ28" s="334"/>
      <c r="ABK28" s="334"/>
      <c r="ABL28" s="334"/>
      <c r="ABM28" s="334"/>
      <c r="ABN28" s="334"/>
      <c r="ABO28" s="334"/>
      <c r="ABP28" s="334"/>
      <c r="ABQ28" s="334"/>
      <c r="ABR28" s="334"/>
      <c r="ABS28" s="334"/>
      <c r="ABT28" s="334"/>
      <c r="ABU28" s="334"/>
      <c r="ABV28" s="334"/>
      <c r="ABW28" s="334"/>
      <c r="ABX28" s="334"/>
      <c r="ABY28" s="334"/>
      <c r="ABZ28" s="334"/>
      <c r="ACA28" s="334"/>
      <c r="ACB28" s="334"/>
      <c r="ACC28" s="334"/>
      <c r="ACD28" s="334"/>
      <c r="ACE28" s="334"/>
      <c r="ACF28" s="334"/>
      <c r="ACG28" s="334"/>
      <c r="ACH28" s="334"/>
      <c r="ACI28" s="334"/>
      <c r="ACJ28" s="334"/>
      <c r="ACK28" s="334"/>
      <c r="ACL28" s="334"/>
      <c r="ACM28" s="334"/>
      <c r="ACN28" s="334"/>
      <c r="ACO28" s="334"/>
      <c r="ACP28" s="334"/>
      <c r="ACQ28" s="334"/>
      <c r="ACR28" s="334"/>
      <c r="ACS28" s="334"/>
      <c r="ACT28" s="334"/>
      <c r="ACU28" s="334"/>
      <c r="ACV28" s="334"/>
      <c r="ACW28" s="334"/>
      <c r="ACX28" s="334"/>
      <c r="ACY28" s="334"/>
      <c r="ACZ28" s="334"/>
      <c r="ADA28" s="334"/>
      <c r="ADB28" s="334"/>
      <c r="ADC28" s="334"/>
      <c r="ADD28" s="334"/>
      <c r="ADE28" s="334"/>
      <c r="ADF28" s="334"/>
      <c r="ADG28" s="334"/>
      <c r="ADH28" s="334"/>
      <c r="ADI28" s="334"/>
      <c r="ADJ28" s="334"/>
      <c r="ADK28" s="334"/>
      <c r="ADL28" s="334"/>
      <c r="ADM28" s="334"/>
      <c r="ADN28" s="334"/>
      <c r="ADO28" s="334"/>
      <c r="ADP28" s="334"/>
      <c r="ADQ28" s="334"/>
      <c r="ADR28" s="334"/>
      <c r="ADS28" s="334"/>
      <c r="ADT28" s="334"/>
      <c r="ADU28" s="334"/>
      <c r="ADV28" s="334"/>
      <c r="ADW28" s="334"/>
      <c r="ADX28" s="334"/>
      <c r="ADY28" s="334"/>
      <c r="ADZ28" s="334"/>
      <c r="AEA28" s="334"/>
      <c r="AEB28" s="334"/>
      <c r="AEC28" s="334"/>
      <c r="AED28" s="334"/>
      <c r="AEE28" s="334"/>
      <c r="AEF28" s="334"/>
      <c r="AEG28" s="334"/>
      <c r="AEH28" s="334"/>
      <c r="AEI28" s="334"/>
      <c r="AEJ28" s="334"/>
      <c r="AEK28" s="334"/>
      <c r="AEL28" s="334"/>
      <c r="AEM28" s="334"/>
      <c r="AEN28" s="334"/>
      <c r="AEO28" s="334"/>
      <c r="AEP28" s="334"/>
      <c r="AEQ28" s="334"/>
      <c r="AER28" s="334"/>
      <c r="AES28" s="334"/>
      <c r="AET28" s="334"/>
      <c r="AEU28" s="334"/>
      <c r="AEV28" s="334"/>
      <c r="AEW28" s="334"/>
      <c r="AEX28" s="334"/>
      <c r="AEY28" s="334"/>
      <c r="AEZ28" s="334"/>
      <c r="AFA28" s="334"/>
      <c r="AFB28" s="334"/>
      <c r="AFC28" s="334"/>
      <c r="AFD28" s="334"/>
      <c r="AFE28" s="334"/>
      <c r="AFF28" s="334"/>
      <c r="AFG28" s="334"/>
      <c r="AFH28" s="334"/>
      <c r="AFI28" s="334"/>
      <c r="AFJ28" s="334"/>
      <c r="AFK28" s="334"/>
      <c r="AFL28" s="334"/>
      <c r="AFM28" s="334"/>
      <c r="AFN28" s="334"/>
      <c r="AFO28" s="334"/>
      <c r="AFP28" s="334"/>
      <c r="AFQ28" s="334"/>
      <c r="AFR28" s="334"/>
      <c r="AFS28" s="334"/>
      <c r="AFT28" s="334"/>
      <c r="AFU28" s="334"/>
      <c r="AFV28" s="334"/>
      <c r="AFW28" s="334"/>
      <c r="AFX28" s="334"/>
      <c r="AFY28" s="334"/>
      <c r="AFZ28" s="334"/>
      <c r="AGA28" s="334"/>
      <c r="AGB28" s="334"/>
      <c r="AGC28" s="334"/>
      <c r="AGD28" s="334"/>
      <c r="AGE28" s="334"/>
      <c r="AGF28" s="334"/>
      <c r="AGG28" s="334"/>
      <c r="AGH28" s="334"/>
      <c r="AGI28" s="334"/>
      <c r="AGJ28" s="334"/>
      <c r="AGK28" s="334"/>
      <c r="AGL28" s="334"/>
      <c r="AGM28" s="334"/>
      <c r="AGN28" s="334"/>
      <c r="AGO28" s="334"/>
      <c r="AGP28" s="334"/>
      <c r="AGQ28" s="334"/>
      <c r="AGR28" s="334"/>
      <c r="AGS28" s="334"/>
      <c r="AGT28" s="334"/>
      <c r="AGU28" s="334"/>
      <c r="AGV28" s="334"/>
      <c r="AGW28" s="334"/>
      <c r="AGX28" s="334"/>
      <c r="AGY28" s="334"/>
      <c r="AGZ28" s="334"/>
      <c r="AHA28" s="334"/>
      <c r="AHB28" s="334"/>
      <c r="AHC28" s="334"/>
      <c r="AHD28" s="334"/>
      <c r="AHE28" s="334"/>
      <c r="AHF28" s="334"/>
      <c r="AHG28" s="334"/>
      <c r="AHH28" s="334"/>
      <c r="AHI28" s="334"/>
      <c r="AHJ28" s="334"/>
      <c r="AHK28" s="334"/>
      <c r="AHL28" s="334"/>
      <c r="AHM28" s="334"/>
      <c r="AHN28" s="334"/>
      <c r="AHO28" s="334"/>
      <c r="AHP28" s="334"/>
      <c r="AHQ28" s="334"/>
      <c r="AHR28" s="334"/>
      <c r="AHS28" s="334"/>
      <c r="AHT28" s="334"/>
      <c r="AHU28" s="334"/>
      <c r="AHV28" s="334"/>
      <c r="AHW28" s="334"/>
      <c r="AHX28" s="334"/>
      <c r="AHY28" s="334"/>
      <c r="AHZ28" s="334"/>
      <c r="AIA28" s="334"/>
      <c r="AIB28" s="334"/>
      <c r="AIC28" s="334"/>
      <c r="AID28" s="334"/>
      <c r="AIE28" s="334"/>
      <c r="AIF28" s="334"/>
      <c r="AIG28" s="334"/>
      <c r="AIH28" s="334"/>
      <c r="AII28" s="334"/>
      <c r="AIJ28" s="334"/>
      <c r="AIK28" s="334"/>
      <c r="AIL28" s="334"/>
      <c r="AIM28" s="334"/>
      <c r="AIN28" s="334"/>
      <c r="AIO28" s="334"/>
      <c r="AIP28" s="334"/>
      <c r="AIQ28" s="334"/>
      <c r="AIR28" s="334"/>
      <c r="AIS28" s="334"/>
      <c r="AIT28" s="334"/>
      <c r="AIU28" s="334"/>
      <c r="AIV28" s="334"/>
      <c r="AIW28" s="334"/>
      <c r="AIX28" s="334"/>
      <c r="AIY28" s="334"/>
      <c r="AIZ28" s="334"/>
      <c r="AJA28" s="334"/>
      <c r="AJB28" s="334"/>
      <c r="AJC28" s="334"/>
      <c r="AJD28" s="334"/>
      <c r="AJE28" s="334"/>
      <c r="AJF28" s="334"/>
      <c r="AJG28" s="334"/>
      <c r="AJH28" s="334"/>
      <c r="AJI28" s="334"/>
      <c r="AJJ28" s="334"/>
      <c r="AJK28" s="334"/>
      <c r="AJL28" s="334"/>
      <c r="AJM28" s="334"/>
      <c r="AJN28" s="334"/>
      <c r="AJO28" s="334"/>
      <c r="AJP28" s="334"/>
      <c r="AJQ28" s="334"/>
      <c r="AJR28" s="334"/>
      <c r="AJS28" s="334"/>
      <c r="AJT28" s="334"/>
      <c r="AJU28" s="334"/>
      <c r="AJV28" s="334"/>
      <c r="AJW28" s="334"/>
      <c r="AJX28" s="334"/>
      <c r="AJY28" s="334"/>
      <c r="AJZ28" s="334"/>
      <c r="AKA28" s="334"/>
      <c r="AKB28" s="334"/>
      <c r="AKC28" s="334"/>
      <c r="AKD28" s="334"/>
      <c r="AKE28" s="334"/>
      <c r="AKF28" s="334"/>
      <c r="AKG28" s="334"/>
      <c r="AKH28" s="334"/>
      <c r="AKI28" s="334"/>
      <c r="AKJ28" s="334"/>
      <c r="AKK28" s="334"/>
      <c r="AKL28" s="334"/>
      <c r="AKM28" s="334"/>
      <c r="AKN28" s="334"/>
      <c r="AKO28" s="334"/>
      <c r="AKP28" s="334"/>
      <c r="AKQ28" s="334"/>
      <c r="AKR28" s="334"/>
      <c r="AKS28" s="334"/>
      <c r="AKT28" s="334"/>
      <c r="AKU28" s="334"/>
      <c r="AKV28" s="334"/>
      <c r="AKW28" s="334"/>
      <c r="AKX28" s="334"/>
      <c r="AKY28" s="334"/>
      <c r="AKZ28" s="334"/>
      <c r="ALA28" s="334"/>
      <c r="ALB28" s="334"/>
      <c r="ALC28" s="334"/>
      <c r="ALD28" s="334"/>
      <c r="ALE28" s="334"/>
      <c r="ALF28" s="334"/>
      <c r="ALG28" s="334"/>
      <c r="ALH28" s="334"/>
      <c r="ALI28" s="334"/>
      <c r="ALJ28" s="334"/>
      <c r="ALK28" s="334"/>
      <c r="ALL28" s="334"/>
      <c r="ALM28" s="334"/>
      <c r="ALN28" s="334"/>
      <c r="ALO28" s="334"/>
      <c r="ALP28" s="334"/>
      <c r="ALQ28" s="334"/>
      <c r="ALR28" s="334"/>
      <c r="ALS28" s="334"/>
      <c r="ALT28" s="334"/>
      <c r="ALU28" s="334"/>
      <c r="ALV28" s="334"/>
      <c r="ALW28" s="334"/>
      <c r="ALX28" s="334"/>
      <c r="ALY28" s="334"/>
      <c r="ALZ28" s="334"/>
      <c r="AMA28" s="334"/>
      <c r="AMB28" s="334"/>
      <c r="AMC28" s="334"/>
      <c r="AMD28" s="334"/>
      <c r="AME28" s="334"/>
      <c r="AMF28" s="334"/>
      <c r="AMG28" s="334"/>
      <c r="AMH28" s="334"/>
      <c r="AMI28" s="334"/>
      <c r="AMJ28" s="334"/>
      <c r="AMK28" s="334"/>
      <c r="AML28" s="334"/>
      <c r="AMM28" s="334"/>
      <c r="AMN28" s="334"/>
      <c r="AMO28" s="334"/>
      <c r="AMP28" s="334"/>
      <c r="AMQ28" s="334"/>
      <c r="AMR28" s="334"/>
      <c r="AMS28" s="334"/>
      <c r="AMT28" s="334"/>
      <c r="AMU28" s="334"/>
      <c r="AMV28" s="334"/>
      <c r="AMW28" s="334"/>
      <c r="AMX28" s="334"/>
      <c r="AMY28" s="334"/>
      <c r="AMZ28" s="334"/>
    </row>
    <row r="29" spans="1:1040" s="333" customFormat="1" ht="13.2" x14ac:dyDescent="0.25">
      <c r="A29" s="334"/>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5"/>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4"/>
      <c r="EW29" s="334"/>
      <c r="EX29" s="334"/>
      <c r="EY29" s="334"/>
      <c r="EZ29" s="334"/>
      <c r="FA29" s="334"/>
      <c r="FB29" s="334"/>
      <c r="FC29" s="334"/>
      <c r="FD29" s="334"/>
      <c r="FE29" s="334"/>
      <c r="FF29" s="334"/>
      <c r="FG29" s="334"/>
      <c r="FH29" s="334"/>
      <c r="FI29" s="334"/>
      <c r="FJ29" s="334"/>
      <c r="FK29" s="334"/>
      <c r="FL29" s="334"/>
      <c r="FM29" s="334"/>
      <c r="FN29" s="334"/>
      <c r="FO29" s="334"/>
      <c r="FP29" s="334"/>
      <c r="FQ29" s="334"/>
      <c r="FR29" s="334"/>
      <c r="FS29" s="334"/>
      <c r="FT29" s="334"/>
      <c r="FU29" s="334"/>
      <c r="FV29" s="334"/>
      <c r="FW29" s="334"/>
      <c r="FX29" s="334"/>
      <c r="FY29" s="334"/>
      <c r="FZ29" s="334"/>
      <c r="GA29" s="334"/>
      <c r="GB29" s="334"/>
      <c r="GC29" s="334"/>
      <c r="GD29" s="334"/>
      <c r="GE29" s="334"/>
      <c r="GF29" s="334"/>
      <c r="GG29" s="334"/>
      <c r="GH29" s="334"/>
      <c r="GI29" s="334"/>
      <c r="GJ29" s="334"/>
      <c r="GK29" s="334"/>
      <c r="GL29" s="334"/>
      <c r="GM29" s="334"/>
      <c r="GN29" s="334"/>
      <c r="GO29" s="334"/>
      <c r="GP29" s="334"/>
      <c r="GQ29" s="334"/>
      <c r="GR29" s="334"/>
      <c r="GS29" s="334"/>
      <c r="GT29" s="334"/>
      <c r="GU29" s="334"/>
      <c r="GV29" s="334"/>
      <c r="GW29" s="334"/>
      <c r="GX29" s="334"/>
      <c r="GY29" s="334"/>
      <c r="GZ29" s="334"/>
      <c r="HA29" s="334"/>
      <c r="HB29" s="334"/>
      <c r="HC29" s="334"/>
      <c r="HD29" s="334"/>
      <c r="HE29" s="334"/>
      <c r="HF29" s="334"/>
      <c r="HG29" s="334"/>
      <c r="HH29" s="334"/>
      <c r="HI29" s="334"/>
      <c r="HJ29" s="334"/>
      <c r="HK29" s="334"/>
      <c r="HL29" s="334"/>
      <c r="HM29" s="334"/>
      <c r="HN29" s="334"/>
      <c r="HO29" s="334"/>
      <c r="HP29" s="334"/>
      <c r="HQ29" s="334"/>
      <c r="HR29" s="334"/>
      <c r="HS29" s="334"/>
      <c r="HT29" s="334"/>
      <c r="HU29" s="334"/>
      <c r="HV29" s="334"/>
      <c r="HW29" s="334"/>
      <c r="HX29" s="334"/>
      <c r="HY29" s="334"/>
      <c r="HZ29" s="334"/>
      <c r="IA29" s="334"/>
      <c r="IB29" s="334"/>
      <c r="IC29" s="334"/>
      <c r="ID29" s="334"/>
      <c r="IE29" s="334"/>
      <c r="IF29" s="334"/>
      <c r="IG29" s="334"/>
      <c r="IH29" s="334"/>
      <c r="II29" s="334"/>
      <c r="IJ29" s="334"/>
      <c r="IK29" s="334"/>
      <c r="IL29" s="334"/>
      <c r="IM29" s="334"/>
      <c r="IN29" s="334"/>
      <c r="IO29" s="334"/>
      <c r="IP29" s="334"/>
      <c r="IQ29" s="334"/>
      <c r="IR29" s="334"/>
      <c r="IS29" s="334"/>
      <c r="IT29" s="334"/>
      <c r="IU29" s="334"/>
      <c r="IV29" s="334"/>
      <c r="IW29" s="334"/>
      <c r="IX29" s="334"/>
      <c r="IY29" s="334"/>
      <c r="IZ29" s="334"/>
      <c r="JA29" s="334"/>
      <c r="JB29" s="334"/>
      <c r="JC29" s="334"/>
      <c r="JD29" s="334"/>
      <c r="JE29" s="334"/>
      <c r="JF29" s="334"/>
      <c r="JG29" s="334"/>
      <c r="JH29" s="334"/>
      <c r="JI29" s="334"/>
      <c r="JJ29" s="334"/>
      <c r="JK29" s="334"/>
      <c r="JL29" s="334"/>
      <c r="JM29" s="334"/>
      <c r="JN29" s="334"/>
      <c r="JO29" s="334"/>
      <c r="JP29" s="334"/>
      <c r="JQ29" s="334"/>
      <c r="JR29" s="334"/>
      <c r="JS29" s="334"/>
      <c r="JT29" s="334"/>
      <c r="JU29" s="334"/>
      <c r="JV29" s="334"/>
      <c r="JW29" s="334"/>
      <c r="JX29" s="334"/>
      <c r="JY29" s="334"/>
      <c r="JZ29" s="334"/>
      <c r="KA29" s="334"/>
      <c r="KB29" s="334"/>
      <c r="KC29" s="334"/>
      <c r="KD29" s="334"/>
      <c r="KE29" s="334"/>
      <c r="KF29" s="334"/>
      <c r="KG29" s="334"/>
      <c r="KH29" s="334"/>
      <c r="KI29" s="334"/>
      <c r="KJ29" s="334"/>
      <c r="KK29" s="334"/>
      <c r="KL29" s="334"/>
      <c r="KM29" s="334"/>
      <c r="KN29" s="334"/>
      <c r="KO29" s="334"/>
      <c r="KP29" s="334"/>
      <c r="KQ29" s="334"/>
      <c r="KR29" s="334"/>
      <c r="KS29" s="334"/>
      <c r="KT29" s="334"/>
      <c r="KU29" s="334"/>
      <c r="KV29" s="334"/>
      <c r="KW29" s="334"/>
      <c r="KX29" s="334"/>
      <c r="KY29" s="334"/>
      <c r="KZ29" s="334"/>
      <c r="LA29" s="334"/>
      <c r="LB29" s="334"/>
      <c r="LC29" s="334"/>
      <c r="LD29" s="334"/>
      <c r="LE29" s="334"/>
      <c r="LF29" s="334"/>
      <c r="LG29" s="334"/>
      <c r="LH29" s="334"/>
      <c r="LI29" s="334"/>
      <c r="LJ29" s="334"/>
      <c r="LK29" s="334"/>
      <c r="LL29" s="334"/>
      <c r="LM29" s="334"/>
      <c r="LN29" s="334"/>
      <c r="LO29" s="334"/>
      <c r="LP29" s="334"/>
      <c r="LQ29" s="334"/>
      <c r="LR29" s="334"/>
      <c r="LS29" s="334"/>
      <c r="LT29" s="334"/>
      <c r="LU29" s="334"/>
      <c r="LV29" s="334"/>
      <c r="LW29" s="334"/>
      <c r="LX29" s="334"/>
      <c r="LY29" s="334"/>
      <c r="LZ29" s="334"/>
      <c r="MA29" s="334"/>
      <c r="MB29" s="334"/>
      <c r="MC29" s="334"/>
      <c r="MD29" s="334"/>
      <c r="ME29" s="334"/>
      <c r="MF29" s="334"/>
      <c r="MG29" s="334"/>
      <c r="MH29" s="334"/>
      <c r="MI29" s="334"/>
      <c r="MJ29" s="334"/>
      <c r="MK29" s="334"/>
      <c r="ML29" s="334"/>
      <c r="MM29" s="334"/>
      <c r="MN29" s="334"/>
      <c r="MO29" s="334"/>
      <c r="MP29" s="334"/>
      <c r="MQ29" s="334"/>
      <c r="MR29" s="334"/>
      <c r="MS29" s="334"/>
      <c r="MT29" s="334"/>
      <c r="MU29" s="334"/>
      <c r="MV29" s="334"/>
      <c r="MW29" s="334"/>
      <c r="MX29" s="334"/>
      <c r="MY29" s="334"/>
      <c r="MZ29" s="334"/>
      <c r="NA29" s="334"/>
      <c r="NB29" s="334"/>
      <c r="NC29" s="334"/>
      <c r="ND29" s="334"/>
      <c r="NE29" s="334"/>
      <c r="NF29" s="334"/>
      <c r="NG29" s="334"/>
      <c r="NH29" s="334"/>
      <c r="NI29" s="334"/>
      <c r="NJ29" s="334"/>
      <c r="NK29" s="334"/>
      <c r="NL29" s="334"/>
      <c r="NM29" s="334"/>
      <c r="NN29" s="334"/>
      <c r="NO29" s="334"/>
      <c r="NP29" s="334"/>
      <c r="NQ29" s="334"/>
      <c r="NR29" s="334"/>
      <c r="NS29" s="334"/>
      <c r="NT29" s="334"/>
      <c r="NU29" s="334"/>
      <c r="NV29" s="334"/>
      <c r="NW29" s="334"/>
      <c r="NX29" s="334"/>
      <c r="NY29" s="334"/>
      <c r="NZ29" s="334"/>
      <c r="OA29" s="334"/>
      <c r="OB29" s="334"/>
      <c r="OC29" s="334"/>
      <c r="OD29" s="334"/>
      <c r="OE29" s="334"/>
      <c r="OF29" s="334"/>
      <c r="OG29" s="334"/>
      <c r="OH29" s="334"/>
      <c r="OI29" s="334"/>
      <c r="OJ29" s="334"/>
      <c r="OK29" s="334"/>
      <c r="OL29" s="334"/>
      <c r="OM29" s="334"/>
      <c r="ON29" s="334"/>
      <c r="OO29" s="334"/>
      <c r="OP29" s="334"/>
      <c r="OQ29" s="334"/>
      <c r="OR29" s="334"/>
      <c r="OS29" s="334"/>
      <c r="OT29" s="334"/>
      <c r="OU29" s="334"/>
      <c r="OV29" s="334"/>
      <c r="OW29" s="334"/>
      <c r="OX29" s="334"/>
      <c r="OY29" s="334"/>
      <c r="OZ29" s="334"/>
      <c r="PA29" s="334"/>
      <c r="PB29" s="334"/>
      <c r="PC29" s="334"/>
      <c r="PD29" s="334"/>
      <c r="PE29" s="334"/>
      <c r="PF29" s="334"/>
      <c r="PG29" s="334"/>
      <c r="PH29" s="334"/>
      <c r="PI29" s="334"/>
      <c r="PJ29" s="334"/>
      <c r="PK29" s="334"/>
      <c r="PL29" s="334"/>
      <c r="PM29" s="334"/>
      <c r="PN29" s="334"/>
      <c r="PO29" s="334"/>
      <c r="PP29" s="334"/>
      <c r="PQ29" s="334"/>
      <c r="PR29" s="334"/>
      <c r="PS29" s="334"/>
      <c r="PT29" s="334"/>
      <c r="PU29" s="334"/>
      <c r="PV29" s="334"/>
      <c r="PW29" s="334"/>
      <c r="PX29" s="334"/>
      <c r="PY29" s="334"/>
      <c r="PZ29" s="334"/>
      <c r="QA29" s="334"/>
      <c r="QB29" s="334"/>
      <c r="QC29" s="334"/>
      <c r="QD29" s="334"/>
      <c r="QE29" s="334"/>
      <c r="QF29" s="334"/>
      <c r="QG29" s="334"/>
      <c r="QH29" s="334"/>
      <c r="QI29" s="334"/>
      <c r="QJ29" s="334"/>
      <c r="QK29" s="334"/>
      <c r="QL29" s="334"/>
      <c r="QM29" s="334"/>
      <c r="QN29" s="334"/>
      <c r="QO29" s="334"/>
      <c r="QP29" s="334"/>
      <c r="QQ29" s="334"/>
      <c r="QR29" s="334"/>
      <c r="QS29" s="334"/>
      <c r="QT29" s="334"/>
      <c r="QU29" s="334"/>
      <c r="QV29" s="334"/>
      <c r="QW29" s="334"/>
      <c r="QX29" s="334"/>
      <c r="QY29" s="334"/>
      <c r="QZ29" s="334"/>
      <c r="RA29" s="334"/>
      <c r="RB29" s="334"/>
      <c r="RC29" s="334"/>
      <c r="RD29" s="334"/>
      <c r="RE29" s="334"/>
      <c r="RF29" s="334"/>
      <c r="RG29" s="334"/>
      <c r="RH29" s="334"/>
      <c r="RI29" s="334"/>
      <c r="RJ29" s="334"/>
      <c r="RK29" s="334"/>
      <c r="RL29" s="334"/>
      <c r="RM29" s="334"/>
      <c r="RN29" s="334"/>
      <c r="RO29" s="334"/>
      <c r="RP29" s="334"/>
      <c r="RQ29" s="334"/>
      <c r="RR29" s="334"/>
      <c r="RS29" s="334"/>
      <c r="RT29" s="334"/>
      <c r="RU29" s="334"/>
      <c r="RV29" s="334"/>
      <c r="RW29" s="334"/>
      <c r="RX29" s="334"/>
      <c r="RY29" s="334"/>
      <c r="RZ29" s="334"/>
      <c r="SA29" s="334"/>
      <c r="SB29" s="334"/>
      <c r="SC29" s="334"/>
      <c r="SD29" s="334"/>
      <c r="SE29" s="334"/>
      <c r="SF29" s="334"/>
      <c r="SG29" s="334"/>
      <c r="SH29" s="334"/>
      <c r="SI29" s="334"/>
      <c r="SJ29" s="334"/>
      <c r="SK29" s="334"/>
      <c r="SL29" s="334"/>
      <c r="SM29" s="334"/>
      <c r="SN29" s="334"/>
      <c r="SO29" s="334"/>
      <c r="SP29" s="334"/>
      <c r="SQ29" s="334"/>
      <c r="SR29" s="334"/>
      <c r="SS29" s="334"/>
      <c r="ST29" s="334"/>
      <c r="SU29" s="334"/>
      <c r="SV29" s="334"/>
      <c r="SW29" s="334"/>
      <c r="SX29" s="334"/>
      <c r="SY29" s="334"/>
      <c r="SZ29" s="334"/>
      <c r="TA29" s="334"/>
      <c r="TB29" s="334"/>
      <c r="TC29" s="334"/>
      <c r="TD29" s="334"/>
      <c r="TE29" s="334"/>
      <c r="TF29" s="334"/>
      <c r="TG29" s="334"/>
      <c r="TH29" s="334"/>
      <c r="TI29" s="334"/>
      <c r="TJ29" s="334"/>
      <c r="TK29" s="334"/>
      <c r="TL29" s="334"/>
      <c r="TM29" s="334"/>
      <c r="TN29" s="334"/>
      <c r="TO29" s="334"/>
      <c r="TP29" s="334"/>
      <c r="TQ29" s="334"/>
      <c r="TR29" s="334"/>
      <c r="TS29" s="334"/>
      <c r="TT29" s="334"/>
      <c r="TU29" s="334"/>
      <c r="TV29" s="334"/>
      <c r="TW29" s="334"/>
      <c r="TX29" s="334"/>
      <c r="TY29" s="334"/>
      <c r="TZ29" s="334"/>
      <c r="UA29" s="334"/>
      <c r="UB29" s="334"/>
      <c r="UC29" s="334"/>
      <c r="UD29" s="334"/>
      <c r="UE29" s="334"/>
      <c r="UF29" s="334"/>
      <c r="UG29" s="334"/>
      <c r="UH29" s="334"/>
      <c r="UI29" s="334"/>
      <c r="UJ29" s="334"/>
      <c r="UK29" s="334"/>
      <c r="UL29" s="334"/>
      <c r="UM29" s="334"/>
      <c r="UN29" s="334"/>
      <c r="UO29" s="334"/>
      <c r="UP29" s="334"/>
      <c r="UQ29" s="334"/>
      <c r="UR29" s="334"/>
      <c r="US29" s="334"/>
      <c r="UT29" s="334"/>
      <c r="UU29" s="334"/>
      <c r="UV29" s="334"/>
      <c r="UW29" s="334"/>
      <c r="UX29" s="334"/>
      <c r="UY29" s="334"/>
      <c r="UZ29" s="334"/>
      <c r="VA29" s="334"/>
      <c r="VB29" s="334"/>
      <c r="VC29" s="334"/>
      <c r="VD29" s="334"/>
      <c r="VE29" s="334"/>
      <c r="VF29" s="334"/>
      <c r="VG29" s="334"/>
      <c r="VH29" s="334"/>
      <c r="VI29" s="334"/>
      <c r="VJ29" s="334"/>
      <c r="VK29" s="334"/>
      <c r="VL29" s="334"/>
      <c r="VM29" s="334"/>
      <c r="VN29" s="334"/>
      <c r="VO29" s="334"/>
      <c r="VP29" s="334"/>
      <c r="VQ29" s="334"/>
      <c r="VR29" s="334"/>
      <c r="VS29" s="334"/>
      <c r="VT29" s="334"/>
      <c r="VU29" s="334"/>
      <c r="VV29" s="334"/>
      <c r="VW29" s="334"/>
      <c r="VX29" s="334"/>
      <c r="VY29" s="334"/>
      <c r="VZ29" s="334"/>
      <c r="WA29" s="334"/>
      <c r="WB29" s="334"/>
      <c r="WC29" s="334"/>
      <c r="WD29" s="334"/>
      <c r="WE29" s="334"/>
      <c r="WF29" s="334"/>
      <c r="WG29" s="334"/>
      <c r="WH29" s="334"/>
      <c r="WI29" s="334"/>
      <c r="WJ29" s="334"/>
      <c r="WK29" s="334"/>
      <c r="WL29" s="334"/>
      <c r="WM29" s="334"/>
      <c r="WN29" s="334"/>
      <c r="WO29" s="334"/>
      <c r="WP29" s="334"/>
      <c r="WQ29" s="334"/>
      <c r="WR29" s="334"/>
      <c r="WS29" s="334"/>
      <c r="WT29" s="334"/>
      <c r="WU29" s="334"/>
      <c r="WV29" s="334"/>
      <c r="WW29" s="334"/>
      <c r="WX29" s="334"/>
      <c r="WY29" s="334"/>
      <c r="WZ29" s="334"/>
      <c r="XA29" s="334"/>
      <c r="XB29" s="334"/>
      <c r="XC29" s="334"/>
      <c r="XD29" s="334"/>
      <c r="XE29" s="334"/>
      <c r="XF29" s="334"/>
      <c r="XG29" s="334"/>
      <c r="XH29" s="334"/>
      <c r="XI29" s="334"/>
      <c r="XJ29" s="334"/>
      <c r="XK29" s="334"/>
      <c r="XL29" s="334"/>
      <c r="XM29" s="334"/>
      <c r="XN29" s="334"/>
      <c r="XO29" s="334"/>
      <c r="XP29" s="334"/>
      <c r="XQ29" s="334"/>
      <c r="XR29" s="334"/>
      <c r="XS29" s="334"/>
      <c r="XT29" s="334"/>
      <c r="XU29" s="334"/>
      <c r="XV29" s="334"/>
      <c r="XW29" s="334"/>
      <c r="XX29" s="334"/>
      <c r="XY29" s="334"/>
      <c r="XZ29" s="334"/>
      <c r="YA29" s="334"/>
      <c r="YB29" s="334"/>
      <c r="YC29" s="334"/>
      <c r="YD29" s="334"/>
      <c r="YE29" s="334"/>
      <c r="YF29" s="334"/>
      <c r="YG29" s="334"/>
      <c r="YH29" s="334"/>
      <c r="YI29" s="334"/>
      <c r="YJ29" s="334"/>
      <c r="YK29" s="334"/>
      <c r="YL29" s="334"/>
      <c r="YM29" s="334"/>
      <c r="YN29" s="334"/>
      <c r="YO29" s="334"/>
      <c r="YP29" s="334"/>
      <c r="YQ29" s="334"/>
      <c r="YR29" s="334"/>
      <c r="YS29" s="334"/>
      <c r="YT29" s="334"/>
      <c r="YU29" s="334"/>
      <c r="YV29" s="334"/>
      <c r="YW29" s="334"/>
      <c r="YX29" s="334"/>
      <c r="YY29" s="334"/>
      <c r="YZ29" s="334"/>
      <c r="ZA29" s="334"/>
      <c r="ZB29" s="334"/>
      <c r="ZC29" s="334"/>
      <c r="ZD29" s="334"/>
      <c r="ZE29" s="334"/>
      <c r="ZF29" s="334"/>
      <c r="ZG29" s="334"/>
      <c r="ZH29" s="334"/>
      <c r="ZI29" s="334"/>
      <c r="ZJ29" s="334"/>
      <c r="ZK29" s="334"/>
      <c r="ZL29" s="334"/>
      <c r="ZM29" s="334"/>
      <c r="ZN29" s="334"/>
      <c r="ZO29" s="334"/>
      <c r="ZP29" s="334"/>
      <c r="ZQ29" s="334"/>
      <c r="ZR29" s="334"/>
      <c r="ZS29" s="334"/>
      <c r="ZT29" s="334"/>
      <c r="ZU29" s="334"/>
      <c r="ZV29" s="334"/>
      <c r="ZW29" s="334"/>
      <c r="ZX29" s="334"/>
      <c r="ZY29" s="334"/>
      <c r="ZZ29" s="334"/>
      <c r="AAA29" s="334"/>
      <c r="AAB29" s="334"/>
      <c r="AAC29" s="334"/>
      <c r="AAD29" s="334"/>
      <c r="AAE29" s="334"/>
      <c r="AAF29" s="334"/>
      <c r="AAG29" s="334"/>
      <c r="AAH29" s="334"/>
      <c r="AAI29" s="334"/>
      <c r="AAJ29" s="334"/>
      <c r="AAK29" s="334"/>
      <c r="AAL29" s="334"/>
      <c r="AAM29" s="334"/>
      <c r="AAN29" s="334"/>
      <c r="AAO29" s="334"/>
      <c r="AAP29" s="334"/>
      <c r="AAQ29" s="334"/>
      <c r="AAR29" s="334"/>
      <c r="AAS29" s="334"/>
      <c r="AAT29" s="334"/>
      <c r="AAU29" s="334"/>
      <c r="AAV29" s="334"/>
      <c r="AAW29" s="334"/>
      <c r="AAX29" s="334"/>
      <c r="AAY29" s="334"/>
      <c r="AAZ29" s="334"/>
      <c r="ABA29" s="334"/>
      <c r="ABB29" s="334"/>
      <c r="ABC29" s="334"/>
      <c r="ABD29" s="334"/>
      <c r="ABE29" s="334"/>
      <c r="ABF29" s="334"/>
      <c r="ABG29" s="334"/>
      <c r="ABH29" s="334"/>
      <c r="ABI29" s="334"/>
      <c r="ABJ29" s="334"/>
      <c r="ABK29" s="334"/>
      <c r="ABL29" s="334"/>
      <c r="ABM29" s="334"/>
      <c r="ABN29" s="334"/>
      <c r="ABO29" s="334"/>
      <c r="ABP29" s="334"/>
      <c r="ABQ29" s="334"/>
      <c r="ABR29" s="334"/>
      <c r="ABS29" s="334"/>
      <c r="ABT29" s="334"/>
      <c r="ABU29" s="334"/>
      <c r="ABV29" s="334"/>
      <c r="ABW29" s="334"/>
      <c r="ABX29" s="334"/>
      <c r="ABY29" s="334"/>
      <c r="ABZ29" s="334"/>
      <c r="ACA29" s="334"/>
      <c r="ACB29" s="334"/>
      <c r="ACC29" s="334"/>
      <c r="ACD29" s="334"/>
      <c r="ACE29" s="334"/>
      <c r="ACF29" s="334"/>
      <c r="ACG29" s="334"/>
      <c r="ACH29" s="334"/>
      <c r="ACI29" s="334"/>
      <c r="ACJ29" s="334"/>
      <c r="ACK29" s="334"/>
      <c r="ACL29" s="334"/>
      <c r="ACM29" s="334"/>
      <c r="ACN29" s="334"/>
      <c r="ACO29" s="334"/>
      <c r="ACP29" s="334"/>
      <c r="ACQ29" s="334"/>
      <c r="ACR29" s="334"/>
      <c r="ACS29" s="334"/>
      <c r="ACT29" s="334"/>
      <c r="ACU29" s="334"/>
      <c r="ACV29" s="334"/>
      <c r="ACW29" s="334"/>
      <c r="ACX29" s="334"/>
      <c r="ACY29" s="334"/>
      <c r="ACZ29" s="334"/>
      <c r="ADA29" s="334"/>
      <c r="ADB29" s="334"/>
      <c r="ADC29" s="334"/>
      <c r="ADD29" s="334"/>
      <c r="ADE29" s="334"/>
      <c r="ADF29" s="334"/>
      <c r="ADG29" s="334"/>
      <c r="ADH29" s="334"/>
      <c r="ADI29" s="334"/>
      <c r="ADJ29" s="334"/>
      <c r="ADK29" s="334"/>
      <c r="ADL29" s="334"/>
      <c r="ADM29" s="334"/>
      <c r="ADN29" s="334"/>
      <c r="ADO29" s="334"/>
      <c r="ADP29" s="334"/>
      <c r="ADQ29" s="334"/>
      <c r="ADR29" s="334"/>
      <c r="ADS29" s="334"/>
      <c r="ADT29" s="334"/>
      <c r="ADU29" s="334"/>
      <c r="ADV29" s="334"/>
      <c r="ADW29" s="334"/>
      <c r="ADX29" s="334"/>
      <c r="ADY29" s="334"/>
      <c r="ADZ29" s="334"/>
      <c r="AEA29" s="334"/>
      <c r="AEB29" s="334"/>
      <c r="AEC29" s="334"/>
      <c r="AED29" s="334"/>
      <c r="AEE29" s="334"/>
      <c r="AEF29" s="334"/>
      <c r="AEG29" s="334"/>
      <c r="AEH29" s="334"/>
      <c r="AEI29" s="334"/>
      <c r="AEJ29" s="334"/>
      <c r="AEK29" s="334"/>
      <c r="AEL29" s="334"/>
      <c r="AEM29" s="334"/>
      <c r="AEN29" s="334"/>
      <c r="AEO29" s="334"/>
      <c r="AEP29" s="334"/>
      <c r="AEQ29" s="334"/>
      <c r="AER29" s="334"/>
      <c r="AES29" s="334"/>
      <c r="AET29" s="334"/>
      <c r="AEU29" s="334"/>
      <c r="AEV29" s="334"/>
      <c r="AEW29" s="334"/>
      <c r="AEX29" s="334"/>
      <c r="AEY29" s="334"/>
      <c r="AEZ29" s="334"/>
      <c r="AFA29" s="334"/>
      <c r="AFB29" s="334"/>
      <c r="AFC29" s="334"/>
      <c r="AFD29" s="334"/>
      <c r="AFE29" s="334"/>
      <c r="AFF29" s="334"/>
      <c r="AFG29" s="334"/>
      <c r="AFH29" s="334"/>
      <c r="AFI29" s="334"/>
      <c r="AFJ29" s="334"/>
      <c r="AFK29" s="334"/>
      <c r="AFL29" s="334"/>
      <c r="AFM29" s="334"/>
      <c r="AFN29" s="334"/>
      <c r="AFO29" s="334"/>
      <c r="AFP29" s="334"/>
      <c r="AFQ29" s="334"/>
      <c r="AFR29" s="334"/>
      <c r="AFS29" s="334"/>
      <c r="AFT29" s="334"/>
      <c r="AFU29" s="334"/>
      <c r="AFV29" s="334"/>
      <c r="AFW29" s="334"/>
      <c r="AFX29" s="334"/>
      <c r="AFY29" s="334"/>
      <c r="AFZ29" s="334"/>
      <c r="AGA29" s="334"/>
      <c r="AGB29" s="334"/>
      <c r="AGC29" s="334"/>
      <c r="AGD29" s="334"/>
      <c r="AGE29" s="334"/>
      <c r="AGF29" s="334"/>
      <c r="AGG29" s="334"/>
      <c r="AGH29" s="334"/>
      <c r="AGI29" s="334"/>
      <c r="AGJ29" s="334"/>
      <c r="AGK29" s="334"/>
      <c r="AGL29" s="334"/>
      <c r="AGM29" s="334"/>
      <c r="AGN29" s="334"/>
      <c r="AGO29" s="334"/>
      <c r="AGP29" s="334"/>
      <c r="AGQ29" s="334"/>
      <c r="AGR29" s="334"/>
      <c r="AGS29" s="334"/>
      <c r="AGT29" s="334"/>
      <c r="AGU29" s="334"/>
      <c r="AGV29" s="334"/>
      <c r="AGW29" s="334"/>
      <c r="AGX29" s="334"/>
      <c r="AGY29" s="334"/>
      <c r="AGZ29" s="334"/>
      <c r="AHA29" s="334"/>
      <c r="AHB29" s="334"/>
      <c r="AHC29" s="334"/>
      <c r="AHD29" s="334"/>
      <c r="AHE29" s="334"/>
      <c r="AHF29" s="334"/>
      <c r="AHG29" s="334"/>
      <c r="AHH29" s="334"/>
      <c r="AHI29" s="334"/>
      <c r="AHJ29" s="334"/>
      <c r="AHK29" s="334"/>
      <c r="AHL29" s="334"/>
      <c r="AHM29" s="334"/>
      <c r="AHN29" s="334"/>
      <c r="AHO29" s="334"/>
      <c r="AHP29" s="334"/>
      <c r="AHQ29" s="334"/>
      <c r="AHR29" s="334"/>
      <c r="AHS29" s="334"/>
      <c r="AHT29" s="334"/>
      <c r="AHU29" s="334"/>
      <c r="AHV29" s="334"/>
      <c r="AHW29" s="334"/>
      <c r="AHX29" s="334"/>
      <c r="AHY29" s="334"/>
      <c r="AHZ29" s="334"/>
      <c r="AIA29" s="334"/>
      <c r="AIB29" s="334"/>
      <c r="AIC29" s="334"/>
      <c r="AID29" s="334"/>
      <c r="AIE29" s="334"/>
      <c r="AIF29" s="334"/>
      <c r="AIG29" s="334"/>
      <c r="AIH29" s="334"/>
      <c r="AII29" s="334"/>
      <c r="AIJ29" s="334"/>
      <c r="AIK29" s="334"/>
      <c r="AIL29" s="334"/>
      <c r="AIM29" s="334"/>
      <c r="AIN29" s="334"/>
      <c r="AIO29" s="334"/>
      <c r="AIP29" s="334"/>
      <c r="AIQ29" s="334"/>
      <c r="AIR29" s="334"/>
      <c r="AIS29" s="334"/>
      <c r="AIT29" s="334"/>
      <c r="AIU29" s="334"/>
      <c r="AIV29" s="334"/>
      <c r="AIW29" s="334"/>
      <c r="AIX29" s="334"/>
      <c r="AIY29" s="334"/>
      <c r="AIZ29" s="334"/>
      <c r="AJA29" s="334"/>
      <c r="AJB29" s="334"/>
      <c r="AJC29" s="334"/>
      <c r="AJD29" s="334"/>
      <c r="AJE29" s="334"/>
      <c r="AJF29" s="334"/>
      <c r="AJG29" s="334"/>
      <c r="AJH29" s="334"/>
      <c r="AJI29" s="334"/>
      <c r="AJJ29" s="334"/>
      <c r="AJK29" s="334"/>
      <c r="AJL29" s="334"/>
      <c r="AJM29" s="334"/>
      <c r="AJN29" s="334"/>
      <c r="AJO29" s="334"/>
      <c r="AJP29" s="334"/>
      <c r="AJQ29" s="334"/>
      <c r="AJR29" s="334"/>
      <c r="AJS29" s="334"/>
      <c r="AJT29" s="334"/>
      <c r="AJU29" s="334"/>
      <c r="AJV29" s="334"/>
      <c r="AJW29" s="334"/>
      <c r="AJX29" s="334"/>
      <c r="AJY29" s="334"/>
      <c r="AJZ29" s="334"/>
      <c r="AKA29" s="334"/>
      <c r="AKB29" s="334"/>
      <c r="AKC29" s="334"/>
      <c r="AKD29" s="334"/>
      <c r="AKE29" s="334"/>
      <c r="AKF29" s="334"/>
      <c r="AKG29" s="334"/>
      <c r="AKH29" s="334"/>
      <c r="AKI29" s="334"/>
      <c r="AKJ29" s="334"/>
      <c r="AKK29" s="334"/>
      <c r="AKL29" s="334"/>
      <c r="AKM29" s="334"/>
      <c r="AKN29" s="334"/>
      <c r="AKO29" s="334"/>
      <c r="AKP29" s="334"/>
      <c r="AKQ29" s="334"/>
      <c r="AKR29" s="334"/>
      <c r="AKS29" s="334"/>
      <c r="AKT29" s="334"/>
      <c r="AKU29" s="334"/>
      <c r="AKV29" s="334"/>
      <c r="AKW29" s="334"/>
      <c r="AKX29" s="334"/>
      <c r="AKY29" s="334"/>
      <c r="AKZ29" s="334"/>
      <c r="ALA29" s="334"/>
      <c r="ALB29" s="334"/>
      <c r="ALC29" s="334"/>
      <c r="ALD29" s="334"/>
      <c r="ALE29" s="334"/>
      <c r="ALF29" s="334"/>
      <c r="ALG29" s="334"/>
      <c r="ALH29" s="334"/>
      <c r="ALI29" s="334"/>
      <c r="ALJ29" s="334"/>
      <c r="ALK29" s="334"/>
      <c r="ALL29" s="334"/>
      <c r="ALM29" s="334"/>
      <c r="ALN29" s="334"/>
      <c r="ALO29" s="334"/>
      <c r="ALP29" s="334"/>
      <c r="ALQ29" s="334"/>
      <c r="ALR29" s="334"/>
      <c r="ALS29" s="334"/>
      <c r="ALT29" s="334"/>
      <c r="ALU29" s="334"/>
      <c r="ALV29" s="334"/>
      <c r="ALW29" s="334"/>
      <c r="ALX29" s="334"/>
      <c r="ALY29" s="334"/>
      <c r="ALZ29" s="334"/>
      <c r="AMA29" s="334"/>
      <c r="AMB29" s="334"/>
      <c r="AMC29" s="334"/>
      <c r="AMD29" s="334"/>
      <c r="AME29" s="334"/>
      <c r="AMF29" s="334"/>
      <c r="AMG29" s="334"/>
      <c r="AMH29" s="334"/>
      <c r="AMI29" s="334"/>
      <c r="AMJ29" s="334"/>
      <c r="AMK29" s="334"/>
      <c r="AML29" s="334"/>
      <c r="AMM29" s="334"/>
      <c r="AMN29" s="334"/>
      <c r="AMO29" s="334"/>
      <c r="AMP29" s="334"/>
      <c r="AMQ29" s="334"/>
      <c r="AMR29" s="334"/>
      <c r="AMS29" s="334"/>
      <c r="AMT29" s="334"/>
      <c r="AMU29" s="334"/>
      <c r="AMV29" s="334"/>
      <c r="AMW29" s="334"/>
      <c r="AMX29" s="334"/>
      <c r="AMY29" s="334"/>
      <c r="AMZ29" s="334"/>
    </row>
    <row r="30" spans="1:1040" s="333" customFormat="1" ht="13.2" x14ac:dyDescent="0.25">
      <c r="A30" s="334"/>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5"/>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4"/>
      <c r="CV30" s="334"/>
      <c r="CW30" s="334"/>
      <c r="CX30" s="334"/>
      <c r="CY30" s="334"/>
      <c r="CZ30" s="334"/>
      <c r="DA30" s="334"/>
      <c r="DB30" s="334"/>
      <c r="DC30" s="334"/>
      <c r="DD30" s="334"/>
      <c r="DE30" s="334"/>
      <c r="DF30" s="334"/>
      <c r="DG30" s="334"/>
      <c r="DH30" s="334"/>
      <c r="DI30" s="334"/>
      <c r="DJ30" s="334"/>
      <c r="DK30" s="334"/>
      <c r="DL30" s="334"/>
      <c r="DM30" s="334"/>
      <c r="DN30" s="334"/>
      <c r="DO30" s="334"/>
      <c r="DP30" s="334"/>
      <c r="DQ30" s="334"/>
      <c r="DR30" s="334"/>
      <c r="DS30" s="334"/>
      <c r="DT30" s="334"/>
      <c r="DU30" s="334"/>
      <c r="DV30" s="334"/>
      <c r="DW30" s="334"/>
      <c r="DX30" s="334"/>
      <c r="DY30" s="334"/>
      <c r="DZ30" s="334"/>
      <c r="EA30" s="334"/>
      <c r="EB30" s="334"/>
      <c r="EC30" s="334"/>
      <c r="ED30" s="334"/>
      <c r="EE30" s="334"/>
      <c r="EF30" s="334"/>
      <c r="EG30" s="334"/>
      <c r="EH30" s="334"/>
      <c r="EI30" s="334"/>
      <c r="EJ30" s="334"/>
      <c r="EK30" s="334"/>
      <c r="EL30" s="334"/>
      <c r="EM30" s="334"/>
      <c r="EN30" s="334"/>
      <c r="EO30" s="334"/>
      <c r="EP30" s="334"/>
      <c r="EQ30" s="334"/>
      <c r="ER30" s="334"/>
      <c r="ES30" s="334"/>
      <c r="ET30" s="334"/>
      <c r="EU30" s="334"/>
      <c r="EV30" s="334"/>
      <c r="EW30" s="334"/>
      <c r="EX30" s="334"/>
      <c r="EY30" s="334"/>
      <c r="EZ30" s="334"/>
      <c r="FA30" s="334"/>
      <c r="FB30" s="334"/>
      <c r="FC30" s="334"/>
      <c r="FD30" s="334"/>
      <c r="FE30" s="334"/>
      <c r="FF30" s="334"/>
      <c r="FG30" s="334"/>
      <c r="FH30" s="334"/>
      <c r="FI30" s="334"/>
      <c r="FJ30" s="334"/>
      <c r="FK30" s="334"/>
      <c r="FL30" s="334"/>
      <c r="FM30" s="334"/>
      <c r="FN30" s="334"/>
      <c r="FO30" s="334"/>
      <c r="FP30" s="334"/>
      <c r="FQ30" s="334"/>
      <c r="FR30" s="334"/>
      <c r="FS30" s="334"/>
      <c r="FT30" s="334"/>
      <c r="FU30" s="334"/>
      <c r="FV30" s="334"/>
      <c r="FW30" s="334"/>
      <c r="FX30" s="334"/>
      <c r="FY30" s="334"/>
      <c r="FZ30" s="334"/>
      <c r="GA30" s="334"/>
      <c r="GB30" s="334"/>
      <c r="GC30" s="334"/>
      <c r="GD30" s="334"/>
      <c r="GE30" s="334"/>
      <c r="GF30" s="334"/>
      <c r="GG30" s="334"/>
      <c r="GH30" s="334"/>
      <c r="GI30" s="334"/>
      <c r="GJ30" s="334"/>
      <c r="GK30" s="334"/>
      <c r="GL30" s="334"/>
      <c r="GM30" s="334"/>
      <c r="GN30" s="334"/>
      <c r="GO30" s="334"/>
      <c r="GP30" s="334"/>
      <c r="GQ30" s="334"/>
      <c r="GR30" s="334"/>
      <c r="GS30" s="334"/>
      <c r="GT30" s="334"/>
      <c r="GU30" s="334"/>
      <c r="GV30" s="334"/>
      <c r="GW30" s="334"/>
      <c r="GX30" s="334"/>
      <c r="GY30" s="334"/>
      <c r="GZ30" s="334"/>
      <c r="HA30" s="334"/>
      <c r="HB30" s="334"/>
      <c r="HC30" s="334"/>
      <c r="HD30" s="334"/>
      <c r="HE30" s="334"/>
      <c r="HF30" s="334"/>
      <c r="HG30" s="334"/>
      <c r="HH30" s="334"/>
      <c r="HI30" s="334"/>
      <c r="HJ30" s="334"/>
      <c r="HK30" s="334"/>
      <c r="HL30" s="334"/>
      <c r="HM30" s="334"/>
      <c r="HN30" s="334"/>
      <c r="HO30" s="334"/>
      <c r="HP30" s="334"/>
      <c r="HQ30" s="334"/>
      <c r="HR30" s="334"/>
      <c r="HS30" s="334"/>
      <c r="HT30" s="334"/>
      <c r="HU30" s="334"/>
      <c r="HV30" s="334"/>
      <c r="HW30" s="334"/>
      <c r="HX30" s="334"/>
      <c r="HY30" s="334"/>
      <c r="HZ30" s="334"/>
      <c r="IA30" s="334"/>
      <c r="IB30" s="334"/>
      <c r="IC30" s="334"/>
      <c r="ID30" s="334"/>
      <c r="IE30" s="334"/>
      <c r="IF30" s="334"/>
      <c r="IG30" s="334"/>
      <c r="IH30" s="334"/>
      <c r="II30" s="334"/>
      <c r="IJ30" s="334"/>
      <c r="IK30" s="334"/>
      <c r="IL30" s="334"/>
      <c r="IM30" s="334"/>
      <c r="IN30" s="334"/>
      <c r="IO30" s="334"/>
      <c r="IP30" s="334"/>
      <c r="IQ30" s="334"/>
      <c r="IR30" s="334"/>
      <c r="IS30" s="334"/>
      <c r="IT30" s="334"/>
      <c r="IU30" s="334"/>
      <c r="IV30" s="334"/>
      <c r="IW30" s="334"/>
      <c r="IX30" s="334"/>
      <c r="IY30" s="334"/>
      <c r="IZ30" s="334"/>
      <c r="JA30" s="334"/>
      <c r="JB30" s="334"/>
      <c r="JC30" s="334"/>
      <c r="JD30" s="334"/>
      <c r="JE30" s="334"/>
      <c r="JF30" s="334"/>
      <c r="JG30" s="334"/>
      <c r="JH30" s="334"/>
      <c r="JI30" s="334"/>
      <c r="JJ30" s="334"/>
      <c r="JK30" s="334"/>
      <c r="JL30" s="334"/>
      <c r="JM30" s="334"/>
      <c r="JN30" s="334"/>
      <c r="JO30" s="334"/>
      <c r="JP30" s="334"/>
      <c r="JQ30" s="334"/>
      <c r="JR30" s="334"/>
      <c r="JS30" s="334"/>
      <c r="JT30" s="334"/>
      <c r="JU30" s="334"/>
      <c r="JV30" s="334"/>
      <c r="JW30" s="334"/>
      <c r="JX30" s="334"/>
      <c r="JY30" s="334"/>
      <c r="JZ30" s="334"/>
      <c r="KA30" s="334"/>
      <c r="KB30" s="334"/>
      <c r="KC30" s="334"/>
      <c r="KD30" s="334"/>
      <c r="KE30" s="334"/>
      <c r="KF30" s="334"/>
      <c r="KG30" s="334"/>
      <c r="KH30" s="334"/>
      <c r="KI30" s="334"/>
      <c r="KJ30" s="334"/>
      <c r="KK30" s="334"/>
      <c r="KL30" s="334"/>
      <c r="KM30" s="334"/>
      <c r="KN30" s="334"/>
      <c r="KO30" s="334"/>
      <c r="KP30" s="334"/>
      <c r="KQ30" s="334"/>
      <c r="KR30" s="334"/>
      <c r="KS30" s="334"/>
      <c r="KT30" s="334"/>
      <c r="KU30" s="334"/>
      <c r="KV30" s="334"/>
      <c r="KW30" s="334"/>
      <c r="KX30" s="334"/>
      <c r="KY30" s="334"/>
      <c r="KZ30" s="334"/>
      <c r="LA30" s="334"/>
      <c r="LB30" s="334"/>
      <c r="LC30" s="334"/>
      <c r="LD30" s="334"/>
      <c r="LE30" s="334"/>
      <c r="LF30" s="334"/>
      <c r="LG30" s="334"/>
      <c r="LH30" s="334"/>
      <c r="LI30" s="334"/>
      <c r="LJ30" s="334"/>
      <c r="LK30" s="334"/>
      <c r="LL30" s="334"/>
      <c r="LM30" s="334"/>
      <c r="LN30" s="334"/>
      <c r="LO30" s="334"/>
      <c r="LP30" s="334"/>
      <c r="LQ30" s="334"/>
      <c r="LR30" s="334"/>
      <c r="LS30" s="334"/>
      <c r="LT30" s="334"/>
      <c r="LU30" s="334"/>
      <c r="LV30" s="334"/>
      <c r="LW30" s="334"/>
      <c r="LX30" s="334"/>
      <c r="LY30" s="334"/>
      <c r="LZ30" s="334"/>
      <c r="MA30" s="334"/>
      <c r="MB30" s="334"/>
      <c r="MC30" s="334"/>
      <c r="MD30" s="334"/>
      <c r="ME30" s="334"/>
      <c r="MF30" s="334"/>
      <c r="MG30" s="334"/>
      <c r="MH30" s="334"/>
      <c r="MI30" s="334"/>
      <c r="MJ30" s="334"/>
      <c r="MK30" s="334"/>
      <c r="ML30" s="334"/>
      <c r="MM30" s="334"/>
      <c r="MN30" s="334"/>
      <c r="MO30" s="334"/>
      <c r="MP30" s="334"/>
      <c r="MQ30" s="334"/>
      <c r="MR30" s="334"/>
      <c r="MS30" s="334"/>
      <c r="MT30" s="334"/>
      <c r="MU30" s="334"/>
      <c r="MV30" s="334"/>
      <c r="MW30" s="334"/>
      <c r="MX30" s="334"/>
      <c r="MY30" s="334"/>
      <c r="MZ30" s="334"/>
      <c r="NA30" s="334"/>
      <c r="NB30" s="334"/>
      <c r="NC30" s="334"/>
      <c r="ND30" s="334"/>
      <c r="NE30" s="334"/>
      <c r="NF30" s="334"/>
      <c r="NG30" s="334"/>
      <c r="NH30" s="334"/>
      <c r="NI30" s="334"/>
      <c r="NJ30" s="334"/>
      <c r="NK30" s="334"/>
      <c r="NL30" s="334"/>
      <c r="NM30" s="334"/>
      <c r="NN30" s="334"/>
      <c r="NO30" s="334"/>
      <c r="NP30" s="334"/>
      <c r="NQ30" s="334"/>
      <c r="NR30" s="334"/>
      <c r="NS30" s="334"/>
      <c r="NT30" s="334"/>
      <c r="NU30" s="334"/>
      <c r="NV30" s="334"/>
      <c r="NW30" s="334"/>
      <c r="NX30" s="334"/>
      <c r="NY30" s="334"/>
      <c r="NZ30" s="334"/>
      <c r="OA30" s="334"/>
      <c r="OB30" s="334"/>
      <c r="OC30" s="334"/>
      <c r="OD30" s="334"/>
      <c r="OE30" s="334"/>
      <c r="OF30" s="334"/>
      <c r="OG30" s="334"/>
      <c r="OH30" s="334"/>
      <c r="OI30" s="334"/>
      <c r="OJ30" s="334"/>
      <c r="OK30" s="334"/>
      <c r="OL30" s="334"/>
      <c r="OM30" s="334"/>
      <c r="ON30" s="334"/>
      <c r="OO30" s="334"/>
      <c r="OP30" s="334"/>
      <c r="OQ30" s="334"/>
      <c r="OR30" s="334"/>
      <c r="OS30" s="334"/>
      <c r="OT30" s="334"/>
      <c r="OU30" s="334"/>
      <c r="OV30" s="334"/>
      <c r="OW30" s="334"/>
      <c r="OX30" s="334"/>
      <c r="OY30" s="334"/>
      <c r="OZ30" s="334"/>
      <c r="PA30" s="334"/>
      <c r="PB30" s="334"/>
      <c r="PC30" s="334"/>
      <c r="PD30" s="334"/>
      <c r="PE30" s="334"/>
      <c r="PF30" s="334"/>
      <c r="PG30" s="334"/>
      <c r="PH30" s="334"/>
      <c r="PI30" s="334"/>
      <c r="PJ30" s="334"/>
      <c r="PK30" s="334"/>
      <c r="PL30" s="334"/>
      <c r="PM30" s="334"/>
      <c r="PN30" s="334"/>
      <c r="PO30" s="334"/>
      <c r="PP30" s="334"/>
      <c r="PQ30" s="334"/>
      <c r="PR30" s="334"/>
      <c r="PS30" s="334"/>
      <c r="PT30" s="334"/>
      <c r="PU30" s="334"/>
      <c r="PV30" s="334"/>
      <c r="PW30" s="334"/>
      <c r="PX30" s="334"/>
      <c r="PY30" s="334"/>
      <c r="PZ30" s="334"/>
      <c r="QA30" s="334"/>
      <c r="QB30" s="334"/>
      <c r="QC30" s="334"/>
      <c r="QD30" s="334"/>
      <c r="QE30" s="334"/>
      <c r="QF30" s="334"/>
      <c r="QG30" s="334"/>
      <c r="QH30" s="334"/>
      <c r="QI30" s="334"/>
      <c r="QJ30" s="334"/>
      <c r="QK30" s="334"/>
      <c r="QL30" s="334"/>
      <c r="QM30" s="334"/>
      <c r="QN30" s="334"/>
      <c r="QO30" s="334"/>
      <c r="QP30" s="334"/>
      <c r="QQ30" s="334"/>
      <c r="QR30" s="334"/>
      <c r="QS30" s="334"/>
      <c r="QT30" s="334"/>
      <c r="QU30" s="334"/>
      <c r="QV30" s="334"/>
      <c r="QW30" s="334"/>
      <c r="QX30" s="334"/>
      <c r="QY30" s="334"/>
      <c r="QZ30" s="334"/>
      <c r="RA30" s="334"/>
      <c r="RB30" s="334"/>
      <c r="RC30" s="334"/>
      <c r="RD30" s="334"/>
      <c r="RE30" s="334"/>
      <c r="RF30" s="334"/>
      <c r="RG30" s="334"/>
      <c r="RH30" s="334"/>
      <c r="RI30" s="334"/>
      <c r="RJ30" s="334"/>
      <c r="RK30" s="334"/>
      <c r="RL30" s="334"/>
      <c r="RM30" s="334"/>
      <c r="RN30" s="334"/>
      <c r="RO30" s="334"/>
      <c r="RP30" s="334"/>
      <c r="RQ30" s="334"/>
      <c r="RR30" s="334"/>
      <c r="RS30" s="334"/>
      <c r="RT30" s="334"/>
      <c r="RU30" s="334"/>
      <c r="RV30" s="334"/>
      <c r="RW30" s="334"/>
      <c r="RX30" s="334"/>
      <c r="RY30" s="334"/>
      <c r="RZ30" s="334"/>
      <c r="SA30" s="334"/>
      <c r="SB30" s="334"/>
      <c r="SC30" s="334"/>
      <c r="SD30" s="334"/>
      <c r="SE30" s="334"/>
      <c r="SF30" s="334"/>
      <c r="SG30" s="334"/>
      <c r="SH30" s="334"/>
      <c r="SI30" s="334"/>
      <c r="SJ30" s="334"/>
      <c r="SK30" s="334"/>
      <c r="SL30" s="334"/>
      <c r="SM30" s="334"/>
      <c r="SN30" s="334"/>
      <c r="SO30" s="334"/>
      <c r="SP30" s="334"/>
      <c r="SQ30" s="334"/>
      <c r="SR30" s="334"/>
      <c r="SS30" s="334"/>
      <c r="ST30" s="334"/>
      <c r="SU30" s="334"/>
      <c r="SV30" s="334"/>
      <c r="SW30" s="334"/>
      <c r="SX30" s="334"/>
      <c r="SY30" s="334"/>
      <c r="SZ30" s="334"/>
      <c r="TA30" s="334"/>
      <c r="TB30" s="334"/>
      <c r="TC30" s="334"/>
      <c r="TD30" s="334"/>
      <c r="TE30" s="334"/>
      <c r="TF30" s="334"/>
      <c r="TG30" s="334"/>
      <c r="TH30" s="334"/>
      <c r="TI30" s="334"/>
      <c r="TJ30" s="334"/>
      <c r="TK30" s="334"/>
      <c r="TL30" s="334"/>
      <c r="TM30" s="334"/>
      <c r="TN30" s="334"/>
      <c r="TO30" s="334"/>
      <c r="TP30" s="334"/>
      <c r="TQ30" s="334"/>
      <c r="TR30" s="334"/>
      <c r="TS30" s="334"/>
      <c r="TT30" s="334"/>
      <c r="TU30" s="334"/>
      <c r="TV30" s="334"/>
      <c r="TW30" s="334"/>
      <c r="TX30" s="334"/>
      <c r="TY30" s="334"/>
      <c r="TZ30" s="334"/>
      <c r="UA30" s="334"/>
      <c r="UB30" s="334"/>
      <c r="UC30" s="334"/>
      <c r="UD30" s="334"/>
      <c r="UE30" s="334"/>
      <c r="UF30" s="334"/>
      <c r="UG30" s="334"/>
      <c r="UH30" s="334"/>
      <c r="UI30" s="334"/>
      <c r="UJ30" s="334"/>
      <c r="UK30" s="334"/>
      <c r="UL30" s="334"/>
      <c r="UM30" s="334"/>
      <c r="UN30" s="334"/>
      <c r="UO30" s="334"/>
      <c r="UP30" s="334"/>
      <c r="UQ30" s="334"/>
      <c r="UR30" s="334"/>
      <c r="US30" s="334"/>
      <c r="UT30" s="334"/>
      <c r="UU30" s="334"/>
      <c r="UV30" s="334"/>
      <c r="UW30" s="334"/>
      <c r="UX30" s="334"/>
      <c r="UY30" s="334"/>
      <c r="UZ30" s="334"/>
      <c r="VA30" s="334"/>
      <c r="VB30" s="334"/>
      <c r="VC30" s="334"/>
      <c r="VD30" s="334"/>
      <c r="VE30" s="334"/>
      <c r="VF30" s="334"/>
      <c r="VG30" s="334"/>
      <c r="VH30" s="334"/>
      <c r="VI30" s="334"/>
      <c r="VJ30" s="334"/>
      <c r="VK30" s="334"/>
      <c r="VL30" s="334"/>
      <c r="VM30" s="334"/>
      <c r="VN30" s="334"/>
      <c r="VO30" s="334"/>
      <c r="VP30" s="334"/>
      <c r="VQ30" s="334"/>
      <c r="VR30" s="334"/>
      <c r="VS30" s="334"/>
      <c r="VT30" s="334"/>
      <c r="VU30" s="334"/>
      <c r="VV30" s="334"/>
      <c r="VW30" s="334"/>
      <c r="VX30" s="334"/>
      <c r="VY30" s="334"/>
      <c r="VZ30" s="334"/>
      <c r="WA30" s="334"/>
      <c r="WB30" s="334"/>
      <c r="WC30" s="334"/>
      <c r="WD30" s="334"/>
      <c r="WE30" s="334"/>
      <c r="WF30" s="334"/>
      <c r="WG30" s="334"/>
      <c r="WH30" s="334"/>
      <c r="WI30" s="334"/>
      <c r="WJ30" s="334"/>
      <c r="WK30" s="334"/>
      <c r="WL30" s="334"/>
      <c r="WM30" s="334"/>
      <c r="WN30" s="334"/>
      <c r="WO30" s="334"/>
      <c r="WP30" s="334"/>
      <c r="WQ30" s="334"/>
      <c r="WR30" s="334"/>
      <c r="WS30" s="334"/>
      <c r="WT30" s="334"/>
      <c r="WU30" s="334"/>
      <c r="WV30" s="334"/>
      <c r="WW30" s="334"/>
      <c r="WX30" s="334"/>
      <c r="WY30" s="334"/>
      <c r="WZ30" s="334"/>
      <c r="XA30" s="334"/>
      <c r="XB30" s="334"/>
      <c r="XC30" s="334"/>
      <c r="XD30" s="334"/>
      <c r="XE30" s="334"/>
      <c r="XF30" s="334"/>
      <c r="XG30" s="334"/>
      <c r="XH30" s="334"/>
      <c r="XI30" s="334"/>
      <c r="XJ30" s="334"/>
      <c r="XK30" s="334"/>
      <c r="XL30" s="334"/>
      <c r="XM30" s="334"/>
      <c r="XN30" s="334"/>
      <c r="XO30" s="334"/>
      <c r="XP30" s="334"/>
      <c r="XQ30" s="334"/>
      <c r="XR30" s="334"/>
      <c r="XS30" s="334"/>
      <c r="XT30" s="334"/>
      <c r="XU30" s="334"/>
      <c r="XV30" s="334"/>
      <c r="XW30" s="334"/>
      <c r="XX30" s="334"/>
      <c r="XY30" s="334"/>
      <c r="XZ30" s="334"/>
      <c r="YA30" s="334"/>
      <c r="YB30" s="334"/>
      <c r="YC30" s="334"/>
      <c r="YD30" s="334"/>
      <c r="YE30" s="334"/>
      <c r="YF30" s="334"/>
      <c r="YG30" s="334"/>
      <c r="YH30" s="334"/>
      <c r="YI30" s="334"/>
      <c r="YJ30" s="334"/>
      <c r="YK30" s="334"/>
      <c r="YL30" s="334"/>
      <c r="YM30" s="334"/>
      <c r="YN30" s="334"/>
      <c r="YO30" s="334"/>
      <c r="YP30" s="334"/>
      <c r="YQ30" s="334"/>
      <c r="YR30" s="334"/>
      <c r="YS30" s="334"/>
      <c r="YT30" s="334"/>
      <c r="YU30" s="334"/>
      <c r="YV30" s="334"/>
      <c r="YW30" s="334"/>
      <c r="YX30" s="334"/>
      <c r="YY30" s="334"/>
      <c r="YZ30" s="334"/>
      <c r="ZA30" s="334"/>
      <c r="ZB30" s="334"/>
      <c r="ZC30" s="334"/>
      <c r="ZD30" s="334"/>
      <c r="ZE30" s="334"/>
      <c r="ZF30" s="334"/>
      <c r="ZG30" s="334"/>
      <c r="ZH30" s="334"/>
      <c r="ZI30" s="334"/>
      <c r="ZJ30" s="334"/>
      <c r="ZK30" s="334"/>
      <c r="ZL30" s="334"/>
      <c r="ZM30" s="334"/>
      <c r="ZN30" s="334"/>
      <c r="ZO30" s="334"/>
      <c r="ZP30" s="334"/>
      <c r="ZQ30" s="334"/>
      <c r="ZR30" s="334"/>
      <c r="ZS30" s="334"/>
      <c r="ZT30" s="334"/>
      <c r="ZU30" s="334"/>
      <c r="ZV30" s="334"/>
      <c r="ZW30" s="334"/>
      <c r="ZX30" s="334"/>
      <c r="ZY30" s="334"/>
      <c r="ZZ30" s="334"/>
      <c r="AAA30" s="334"/>
      <c r="AAB30" s="334"/>
      <c r="AAC30" s="334"/>
      <c r="AAD30" s="334"/>
      <c r="AAE30" s="334"/>
      <c r="AAF30" s="334"/>
      <c r="AAG30" s="334"/>
      <c r="AAH30" s="334"/>
      <c r="AAI30" s="334"/>
      <c r="AAJ30" s="334"/>
      <c r="AAK30" s="334"/>
      <c r="AAL30" s="334"/>
      <c r="AAM30" s="334"/>
      <c r="AAN30" s="334"/>
      <c r="AAO30" s="334"/>
      <c r="AAP30" s="334"/>
      <c r="AAQ30" s="334"/>
      <c r="AAR30" s="334"/>
      <c r="AAS30" s="334"/>
      <c r="AAT30" s="334"/>
      <c r="AAU30" s="334"/>
      <c r="AAV30" s="334"/>
      <c r="AAW30" s="334"/>
      <c r="AAX30" s="334"/>
      <c r="AAY30" s="334"/>
      <c r="AAZ30" s="334"/>
      <c r="ABA30" s="334"/>
      <c r="ABB30" s="334"/>
      <c r="ABC30" s="334"/>
      <c r="ABD30" s="334"/>
      <c r="ABE30" s="334"/>
      <c r="ABF30" s="334"/>
      <c r="ABG30" s="334"/>
      <c r="ABH30" s="334"/>
      <c r="ABI30" s="334"/>
      <c r="ABJ30" s="334"/>
      <c r="ABK30" s="334"/>
      <c r="ABL30" s="334"/>
      <c r="ABM30" s="334"/>
      <c r="ABN30" s="334"/>
      <c r="ABO30" s="334"/>
      <c r="ABP30" s="334"/>
      <c r="ABQ30" s="334"/>
      <c r="ABR30" s="334"/>
      <c r="ABS30" s="334"/>
      <c r="ABT30" s="334"/>
      <c r="ABU30" s="334"/>
      <c r="ABV30" s="334"/>
      <c r="ABW30" s="334"/>
      <c r="ABX30" s="334"/>
      <c r="ABY30" s="334"/>
      <c r="ABZ30" s="334"/>
      <c r="ACA30" s="334"/>
      <c r="ACB30" s="334"/>
      <c r="ACC30" s="334"/>
      <c r="ACD30" s="334"/>
      <c r="ACE30" s="334"/>
      <c r="ACF30" s="334"/>
      <c r="ACG30" s="334"/>
      <c r="ACH30" s="334"/>
      <c r="ACI30" s="334"/>
      <c r="ACJ30" s="334"/>
      <c r="ACK30" s="334"/>
      <c r="ACL30" s="334"/>
      <c r="ACM30" s="334"/>
      <c r="ACN30" s="334"/>
      <c r="ACO30" s="334"/>
      <c r="ACP30" s="334"/>
      <c r="ACQ30" s="334"/>
      <c r="ACR30" s="334"/>
      <c r="ACS30" s="334"/>
      <c r="ACT30" s="334"/>
      <c r="ACU30" s="334"/>
      <c r="ACV30" s="334"/>
      <c r="ACW30" s="334"/>
      <c r="ACX30" s="334"/>
      <c r="ACY30" s="334"/>
      <c r="ACZ30" s="334"/>
      <c r="ADA30" s="334"/>
      <c r="ADB30" s="334"/>
      <c r="ADC30" s="334"/>
      <c r="ADD30" s="334"/>
      <c r="ADE30" s="334"/>
      <c r="ADF30" s="334"/>
      <c r="ADG30" s="334"/>
      <c r="ADH30" s="334"/>
      <c r="ADI30" s="334"/>
      <c r="ADJ30" s="334"/>
      <c r="ADK30" s="334"/>
      <c r="ADL30" s="334"/>
      <c r="ADM30" s="334"/>
      <c r="ADN30" s="334"/>
      <c r="ADO30" s="334"/>
      <c r="ADP30" s="334"/>
      <c r="ADQ30" s="334"/>
      <c r="ADR30" s="334"/>
      <c r="ADS30" s="334"/>
      <c r="ADT30" s="334"/>
      <c r="ADU30" s="334"/>
      <c r="ADV30" s="334"/>
      <c r="ADW30" s="334"/>
      <c r="ADX30" s="334"/>
      <c r="ADY30" s="334"/>
      <c r="ADZ30" s="334"/>
      <c r="AEA30" s="334"/>
      <c r="AEB30" s="334"/>
      <c r="AEC30" s="334"/>
      <c r="AED30" s="334"/>
      <c r="AEE30" s="334"/>
      <c r="AEF30" s="334"/>
      <c r="AEG30" s="334"/>
      <c r="AEH30" s="334"/>
      <c r="AEI30" s="334"/>
      <c r="AEJ30" s="334"/>
      <c r="AEK30" s="334"/>
      <c r="AEL30" s="334"/>
      <c r="AEM30" s="334"/>
      <c r="AEN30" s="334"/>
      <c r="AEO30" s="334"/>
      <c r="AEP30" s="334"/>
      <c r="AEQ30" s="334"/>
      <c r="AER30" s="334"/>
      <c r="AES30" s="334"/>
      <c r="AET30" s="334"/>
      <c r="AEU30" s="334"/>
      <c r="AEV30" s="334"/>
      <c r="AEW30" s="334"/>
      <c r="AEX30" s="334"/>
      <c r="AEY30" s="334"/>
      <c r="AEZ30" s="334"/>
      <c r="AFA30" s="334"/>
      <c r="AFB30" s="334"/>
      <c r="AFC30" s="334"/>
      <c r="AFD30" s="334"/>
      <c r="AFE30" s="334"/>
      <c r="AFF30" s="334"/>
      <c r="AFG30" s="334"/>
      <c r="AFH30" s="334"/>
      <c r="AFI30" s="334"/>
      <c r="AFJ30" s="334"/>
      <c r="AFK30" s="334"/>
      <c r="AFL30" s="334"/>
      <c r="AFM30" s="334"/>
      <c r="AFN30" s="334"/>
      <c r="AFO30" s="334"/>
      <c r="AFP30" s="334"/>
      <c r="AFQ30" s="334"/>
      <c r="AFR30" s="334"/>
      <c r="AFS30" s="334"/>
      <c r="AFT30" s="334"/>
      <c r="AFU30" s="334"/>
      <c r="AFV30" s="334"/>
      <c r="AFW30" s="334"/>
      <c r="AFX30" s="334"/>
      <c r="AFY30" s="334"/>
      <c r="AFZ30" s="334"/>
      <c r="AGA30" s="334"/>
      <c r="AGB30" s="334"/>
      <c r="AGC30" s="334"/>
      <c r="AGD30" s="334"/>
      <c r="AGE30" s="334"/>
      <c r="AGF30" s="334"/>
      <c r="AGG30" s="334"/>
      <c r="AGH30" s="334"/>
      <c r="AGI30" s="334"/>
      <c r="AGJ30" s="334"/>
      <c r="AGK30" s="334"/>
      <c r="AGL30" s="334"/>
      <c r="AGM30" s="334"/>
      <c r="AGN30" s="334"/>
      <c r="AGO30" s="334"/>
      <c r="AGP30" s="334"/>
      <c r="AGQ30" s="334"/>
      <c r="AGR30" s="334"/>
      <c r="AGS30" s="334"/>
      <c r="AGT30" s="334"/>
      <c r="AGU30" s="334"/>
      <c r="AGV30" s="334"/>
      <c r="AGW30" s="334"/>
      <c r="AGX30" s="334"/>
      <c r="AGY30" s="334"/>
      <c r="AGZ30" s="334"/>
      <c r="AHA30" s="334"/>
      <c r="AHB30" s="334"/>
      <c r="AHC30" s="334"/>
      <c r="AHD30" s="334"/>
      <c r="AHE30" s="334"/>
      <c r="AHF30" s="334"/>
      <c r="AHG30" s="334"/>
      <c r="AHH30" s="334"/>
      <c r="AHI30" s="334"/>
      <c r="AHJ30" s="334"/>
      <c r="AHK30" s="334"/>
      <c r="AHL30" s="334"/>
      <c r="AHM30" s="334"/>
      <c r="AHN30" s="334"/>
      <c r="AHO30" s="334"/>
      <c r="AHP30" s="334"/>
      <c r="AHQ30" s="334"/>
      <c r="AHR30" s="334"/>
      <c r="AHS30" s="334"/>
      <c r="AHT30" s="334"/>
      <c r="AHU30" s="334"/>
      <c r="AHV30" s="334"/>
      <c r="AHW30" s="334"/>
      <c r="AHX30" s="334"/>
      <c r="AHY30" s="334"/>
      <c r="AHZ30" s="334"/>
      <c r="AIA30" s="334"/>
      <c r="AIB30" s="334"/>
      <c r="AIC30" s="334"/>
      <c r="AID30" s="334"/>
      <c r="AIE30" s="334"/>
      <c r="AIF30" s="334"/>
      <c r="AIG30" s="334"/>
      <c r="AIH30" s="334"/>
      <c r="AII30" s="334"/>
      <c r="AIJ30" s="334"/>
      <c r="AIK30" s="334"/>
      <c r="AIL30" s="334"/>
      <c r="AIM30" s="334"/>
      <c r="AIN30" s="334"/>
      <c r="AIO30" s="334"/>
      <c r="AIP30" s="334"/>
      <c r="AIQ30" s="334"/>
      <c r="AIR30" s="334"/>
      <c r="AIS30" s="334"/>
      <c r="AIT30" s="334"/>
      <c r="AIU30" s="334"/>
      <c r="AIV30" s="334"/>
      <c r="AIW30" s="334"/>
      <c r="AIX30" s="334"/>
      <c r="AIY30" s="334"/>
      <c r="AIZ30" s="334"/>
      <c r="AJA30" s="334"/>
      <c r="AJB30" s="334"/>
      <c r="AJC30" s="334"/>
      <c r="AJD30" s="334"/>
      <c r="AJE30" s="334"/>
      <c r="AJF30" s="334"/>
      <c r="AJG30" s="334"/>
      <c r="AJH30" s="334"/>
      <c r="AJI30" s="334"/>
      <c r="AJJ30" s="334"/>
      <c r="AJK30" s="334"/>
      <c r="AJL30" s="334"/>
      <c r="AJM30" s="334"/>
      <c r="AJN30" s="334"/>
      <c r="AJO30" s="334"/>
      <c r="AJP30" s="334"/>
      <c r="AJQ30" s="334"/>
      <c r="AJR30" s="334"/>
      <c r="AJS30" s="334"/>
      <c r="AJT30" s="334"/>
      <c r="AJU30" s="334"/>
      <c r="AJV30" s="334"/>
      <c r="AJW30" s="334"/>
      <c r="AJX30" s="334"/>
      <c r="AJY30" s="334"/>
      <c r="AJZ30" s="334"/>
      <c r="AKA30" s="334"/>
      <c r="AKB30" s="334"/>
      <c r="AKC30" s="334"/>
      <c r="AKD30" s="334"/>
      <c r="AKE30" s="334"/>
      <c r="AKF30" s="334"/>
      <c r="AKG30" s="334"/>
      <c r="AKH30" s="334"/>
      <c r="AKI30" s="334"/>
      <c r="AKJ30" s="334"/>
      <c r="AKK30" s="334"/>
      <c r="AKL30" s="334"/>
      <c r="AKM30" s="334"/>
      <c r="AKN30" s="334"/>
      <c r="AKO30" s="334"/>
      <c r="AKP30" s="334"/>
      <c r="AKQ30" s="334"/>
      <c r="AKR30" s="334"/>
      <c r="AKS30" s="334"/>
      <c r="AKT30" s="334"/>
      <c r="AKU30" s="334"/>
      <c r="AKV30" s="334"/>
      <c r="AKW30" s="334"/>
      <c r="AKX30" s="334"/>
      <c r="AKY30" s="334"/>
      <c r="AKZ30" s="334"/>
      <c r="ALA30" s="334"/>
      <c r="ALB30" s="334"/>
      <c r="ALC30" s="334"/>
      <c r="ALD30" s="334"/>
      <c r="ALE30" s="334"/>
      <c r="ALF30" s="334"/>
      <c r="ALG30" s="334"/>
      <c r="ALH30" s="334"/>
      <c r="ALI30" s="334"/>
      <c r="ALJ30" s="334"/>
      <c r="ALK30" s="334"/>
      <c r="ALL30" s="334"/>
      <c r="ALM30" s="334"/>
      <c r="ALN30" s="334"/>
      <c r="ALO30" s="334"/>
      <c r="ALP30" s="334"/>
      <c r="ALQ30" s="334"/>
      <c r="ALR30" s="334"/>
      <c r="ALS30" s="334"/>
      <c r="ALT30" s="334"/>
      <c r="ALU30" s="334"/>
      <c r="ALV30" s="334"/>
      <c r="ALW30" s="334"/>
      <c r="ALX30" s="334"/>
      <c r="ALY30" s="334"/>
      <c r="ALZ30" s="334"/>
      <c r="AMA30" s="334"/>
      <c r="AMB30" s="334"/>
      <c r="AMC30" s="334"/>
      <c r="AMD30" s="334"/>
      <c r="AME30" s="334"/>
      <c r="AMF30" s="334"/>
      <c r="AMG30" s="334"/>
      <c r="AMH30" s="334"/>
      <c r="AMI30" s="334"/>
      <c r="AMJ30" s="334"/>
      <c r="AMK30" s="334"/>
      <c r="AML30" s="334"/>
      <c r="AMM30" s="334"/>
      <c r="AMN30" s="334"/>
      <c r="AMO30" s="334"/>
      <c r="AMP30" s="334"/>
      <c r="AMQ30" s="334"/>
      <c r="AMR30" s="334"/>
      <c r="AMS30" s="334"/>
      <c r="AMT30" s="334"/>
      <c r="AMU30" s="334"/>
      <c r="AMV30" s="334"/>
      <c r="AMW30" s="334"/>
      <c r="AMX30" s="334"/>
      <c r="AMY30" s="334"/>
      <c r="AMZ30" s="334"/>
    </row>
    <row r="31" spans="1:1040" s="333" customFormat="1" ht="13.2" x14ac:dyDescent="0.25">
      <c r="A31" s="334"/>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5"/>
      <c r="AW31" s="334"/>
      <c r="AX31" s="334"/>
      <c r="AY31" s="334"/>
      <c r="AZ31" s="334"/>
      <c r="BA31" s="334"/>
      <c r="BB31" s="334"/>
      <c r="BC31" s="334"/>
      <c r="BD31" s="334"/>
      <c r="BE31" s="334"/>
      <c r="BF31" s="334"/>
      <c r="BG31" s="334"/>
      <c r="BH31" s="334"/>
      <c r="BI31" s="334"/>
      <c r="BJ31" s="334"/>
      <c r="BK31" s="334"/>
      <c r="BL31" s="334"/>
      <c r="BM31" s="334"/>
      <c r="BN31" s="334"/>
      <c r="BO31" s="334"/>
      <c r="BP31" s="334"/>
      <c r="BQ31" s="334"/>
      <c r="BR31" s="334"/>
      <c r="BS31" s="334"/>
      <c r="BT31" s="334"/>
      <c r="BU31" s="334"/>
      <c r="BV31" s="334"/>
      <c r="BW31" s="334"/>
      <c r="BX31" s="334"/>
      <c r="BY31" s="334"/>
      <c r="BZ31" s="334"/>
      <c r="CA31" s="334"/>
      <c r="CB31" s="334"/>
      <c r="CC31" s="334"/>
      <c r="CD31" s="334"/>
      <c r="CE31" s="334"/>
      <c r="CF31" s="334"/>
      <c r="CG31" s="334"/>
      <c r="CH31" s="334"/>
      <c r="CI31" s="334"/>
      <c r="CJ31" s="334"/>
      <c r="CK31" s="334"/>
      <c r="CL31" s="334"/>
      <c r="CM31" s="334"/>
      <c r="CN31" s="334"/>
      <c r="CO31" s="334"/>
      <c r="CP31" s="334"/>
      <c r="CQ31" s="334"/>
      <c r="CR31" s="334"/>
      <c r="CS31" s="334"/>
      <c r="CT31" s="334"/>
      <c r="CU31" s="334"/>
      <c r="CV31" s="334"/>
      <c r="CW31" s="334"/>
      <c r="CX31" s="334"/>
      <c r="CY31" s="334"/>
      <c r="CZ31" s="334"/>
      <c r="DA31" s="334"/>
      <c r="DB31" s="334"/>
      <c r="DC31" s="334"/>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4"/>
      <c r="EI31" s="334"/>
      <c r="EJ31" s="334"/>
      <c r="EK31" s="334"/>
      <c r="EL31" s="334"/>
      <c r="EM31" s="334"/>
      <c r="EN31" s="334"/>
      <c r="EO31" s="334"/>
      <c r="EP31" s="334"/>
      <c r="EQ31" s="334"/>
      <c r="ER31" s="334"/>
      <c r="ES31" s="334"/>
      <c r="ET31" s="334"/>
      <c r="EU31" s="334"/>
      <c r="EV31" s="334"/>
      <c r="EW31" s="334"/>
      <c r="EX31" s="334"/>
      <c r="EY31" s="334"/>
      <c r="EZ31" s="334"/>
      <c r="FA31" s="334"/>
      <c r="FB31" s="334"/>
      <c r="FC31" s="334"/>
      <c r="FD31" s="334"/>
      <c r="FE31" s="334"/>
      <c r="FF31" s="334"/>
      <c r="FG31" s="334"/>
      <c r="FH31" s="334"/>
      <c r="FI31" s="334"/>
      <c r="FJ31" s="334"/>
      <c r="FK31" s="334"/>
      <c r="FL31" s="334"/>
      <c r="FM31" s="334"/>
      <c r="FN31" s="334"/>
      <c r="FO31" s="334"/>
      <c r="FP31" s="334"/>
      <c r="FQ31" s="334"/>
      <c r="FR31" s="334"/>
      <c r="FS31" s="334"/>
      <c r="FT31" s="334"/>
      <c r="FU31" s="334"/>
      <c r="FV31" s="334"/>
      <c r="FW31" s="334"/>
      <c r="FX31" s="334"/>
      <c r="FY31" s="334"/>
      <c r="FZ31" s="334"/>
      <c r="GA31" s="334"/>
      <c r="GB31" s="334"/>
      <c r="GC31" s="334"/>
      <c r="GD31" s="334"/>
      <c r="GE31" s="334"/>
      <c r="GF31" s="334"/>
      <c r="GG31" s="334"/>
      <c r="GH31" s="334"/>
      <c r="GI31" s="334"/>
      <c r="GJ31" s="334"/>
      <c r="GK31" s="334"/>
      <c r="GL31" s="334"/>
      <c r="GM31" s="334"/>
      <c r="GN31" s="334"/>
      <c r="GO31" s="334"/>
      <c r="GP31" s="334"/>
      <c r="GQ31" s="334"/>
      <c r="GR31" s="334"/>
      <c r="GS31" s="334"/>
      <c r="GT31" s="334"/>
      <c r="GU31" s="334"/>
      <c r="GV31" s="334"/>
      <c r="GW31" s="334"/>
      <c r="GX31" s="334"/>
      <c r="GY31" s="334"/>
      <c r="GZ31" s="334"/>
      <c r="HA31" s="334"/>
      <c r="HB31" s="334"/>
      <c r="HC31" s="334"/>
      <c r="HD31" s="334"/>
      <c r="HE31" s="334"/>
      <c r="HF31" s="334"/>
      <c r="HG31" s="334"/>
      <c r="HH31" s="334"/>
      <c r="HI31" s="334"/>
      <c r="HJ31" s="334"/>
      <c r="HK31" s="334"/>
      <c r="HL31" s="334"/>
      <c r="HM31" s="334"/>
      <c r="HN31" s="334"/>
      <c r="HO31" s="334"/>
      <c r="HP31" s="334"/>
      <c r="HQ31" s="334"/>
      <c r="HR31" s="334"/>
      <c r="HS31" s="334"/>
      <c r="HT31" s="334"/>
      <c r="HU31" s="334"/>
      <c r="HV31" s="334"/>
      <c r="HW31" s="334"/>
      <c r="HX31" s="334"/>
      <c r="HY31" s="334"/>
      <c r="HZ31" s="334"/>
      <c r="IA31" s="334"/>
      <c r="IB31" s="334"/>
      <c r="IC31" s="334"/>
      <c r="ID31" s="334"/>
      <c r="IE31" s="334"/>
      <c r="IF31" s="334"/>
      <c r="IG31" s="334"/>
      <c r="IH31" s="334"/>
      <c r="II31" s="334"/>
      <c r="IJ31" s="334"/>
      <c r="IK31" s="334"/>
      <c r="IL31" s="334"/>
      <c r="IM31" s="334"/>
      <c r="IN31" s="334"/>
      <c r="IO31" s="334"/>
      <c r="IP31" s="334"/>
      <c r="IQ31" s="334"/>
      <c r="IR31" s="334"/>
      <c r="IS31" s="334"/>
      <c r="IT31" s="334"/>
      <c r="IU31" s="334"/>
      <c r="IV31" s="334"/>
      <c r="IW31" s="334"/>
      <c r="IX31" s="334"/>
      <c r="IY31" s="334"/>
      <c r="IZ31" s="334"/>
      <c r="JA31" s="334"/>
      <c r="JB31" s="334"/>
      <c r="JC31" s="334"/>
      <c r="JD31" s="334"/>
      <c r="JE31" s="334"/>
      <c r="JF31" s="334"/>
      <c r="JG31" s="334"/>
      <c r="JH31" s="334"/>
      <c r="JI31" s="334"/>
      <c r="JJ31" s="334"/>
      <c r="JK31" s="334"/>
      <c r="JL31" s="334"/>
      <c r="JM31" s="334"/>
      <c r="JN31" s="334"/>
      <c r="JO31" s="334"/>
      <c r="JP31" s="334"/>
      <c r="JQ31" s="334"/>
      <c r="JR31" s="334"/>
      <c r="JS31" s="334"/>
      <c r="JT31" s="334"/>
      <c r="JU31" s="334"/>
      <c r="JV31" s="334"/>
      <c r="JW31" s="334"/>
      <c r="JX31" s="334"/>
      <c r="JY31" s="334"/>
      <c r="JZ31" s="334"/>
      <c r="KA31" s="334"/>
      <c r="KB31" s="334"/>
      <c r="KC31" s="334"/>
      <c r="KD31" s="334"/>
      <c r="KE31" s="334"/>
      <c r="KF31" s="334"/>
      <c r="KG31" s="334"/>
      <c r="KH31" s="334"/>
      <c r="KI31" s="334"/>
      <c r="KJ31" s="334"/>
      <c r="KK31" s="334"/>
      <c r="KL31" s="334"/>
      <c r="KM31" s="334"/>
      <c r="KN31" s="334"/>
      <c r="KO31" s="334"/>
      <c r="KP31" s="334"/>
      <c r="KQ31" s="334"/>
      <c r="KR31" s="334"/>
      <c r="KS31" s="334"/>
      <c r="KT31" s="334"/>
      <c r="KU31" s="334"/>
      <c r="KV31" s="334"/>
      <c r="KW31" s="334"/>
      <c r="KX31" s="334"/>
      <c r="KY31" s="334"/>
      <c r="KZ31" s="334"/>
      <c r="LA31" s="334"/>
      <c r="LB31" s="334"/>
      <c r="LC31" s="334"/>
      <c r="LD31" s="334"/>
      <c r="LE31" s="334"/>
      <c r="LF31" s="334"/>
      <c r="LG31" s="334"/>
      <c r="LH31" s="334"/>
      <c r="LI31" s="334"/>
      <c r="LJ31" s="334"/>
      <c r="LK31" s="334"/>
      <c r="LL31" s="334"/>
      <c r="LM31" s="334"/>
      <c r="LN31" s="334"/>
      <c r="LO31" s="334"/>
      <c r="LP31" s="334"/>
      <c r="LQ31" s="334"/>
      <c r="LR31" s="334"/>
      <c r="LS31" s="334"/>
      <c r="LT31" s="334"/>
      <c r="LU31" s="334"/>
      <c r="LV31" s="334"/>
      <c r="LW31" s="334"/>
      <c r="LX31" s="334"/>
      <c r="LY31" s="334"/>
      <c r="LZ31" s="334"/>
      <c r="MA31" s="334"/>
      <c r="MB31" s="334"/>
      <c r="MC31" s="334"/>
      <c r="MD31" s="334"/>
      <c r="ME31" s="334"/>
      <c r="MF31" s="334"/>
      <c r="MG31" s="334"/>
      <c r="MH31" s="334"/>
      <c r="MI31" s="334"/>
      <c r="MJ31" s="334"/>
      <c r="MK31" s="334"/>
      <c r="ML31" s="334"/>
      <c r="MM31" s="334"/>
      <c r="MN31" s="334"/>
      <c r="MO31" s="334"/>
      <c r="MP31" s="334"/>
      <c r="MQ31" s="334"/>
      <c r="MR31" s="334"/>
      <c r="MS31" s="334"/>
      <c r="MT31" s="334"/>
      <c r="MU31" s="334"/>
      <c r="MV31" s="334"/>
      <c r="MW31" s="334"/>
      <c r="MX31" s="334"/>
      <c r="MY31" s="334"/>
      <c r="MZ31" s="334"/>
      <c r="NA31" s="334"/>
      <c r="NB31" s="334"/>
      <c r="NC31" s="334"/>
      <c r="ND31" s="334"/>
      <c r="NE31" s="334"/>
      <c r="NF31" s="334"/>
      <c r="NG31" s="334"/>
      <c r="NH31" s="334"/>
      <c r="NI31" s="334"/>
      <c r="NJ31" s="334"/>
      <c r="NK31" s="334"/>
      <c r="NL31" s="334"/>
      <c r="NM31" s="334"/>
      <c r="NN31" s="334"/>
      <c r="NO31" s="334"/>
      <c r="NP31" s="334"/>
      <c r="NQ31" s="334"/>
      <c r="NR31" s="334"/>
      <c r="NS31" s="334"/>
      <c r="NT31" s="334"/>
      <c r="NU31" s="334"/>
      <c r="NV31" s="334"/>
      <c r="NW31" s="334"/>
      <c r="NX31" s="334"/>
      <c r="NY31" s="334"/>
      <c r="NZ31" s="334"/>
      <c r="OA31" s="334"/>
      <c r="OB31" s="334"/>
      <c r="OC31" s="334"/>
      <c r="OD31" s="334"/>
      <c r="OE31" s="334"/>
      <c r="OF31" s="334"/>
      <c r="OG31" s="334"/>
      <c r="OH31" s="334"/>
      <c r="OI31" s="334"/>
      <c r="OJ31" s="334"/>
      <c r="OK31" s="334"/>
      <c r="OL31" s="334"/>
      <c r="OM31" s="334"/>
      <c r="ON31" s="334"/>
      <c r="OO31" s="334"/>
      <c r="OP31" s="334"/>
      <c r="OQ31" s="334"/>
      <c r="OR31" s="334"/>
      <c r="OS31" s="334"/>
      <c r="OT31" s="334"/>
      <c r="OU31" s="334"/>
      <c r="OV31" s="334"/>
      <c r="OW31" s="334"/>
      <c r="OX31" s="334"/>
      <c r="OY31" s="334"/>
      <c r="OZ31" s="334"/>
      <c r="PA31" s="334"/>
      <c r="PB31" s="334"/>
      <c r="PC31" s="334"/>
      <c r="PD31" s="334"/>
      <c r="PE31" s="334"/>
      <c r="PF31" s="334"/>
      <c r="PG31" s="334"/>
      <c r="PH31" s="334"/>
      <c r="PI31" s="334"/>
      <c r="PJ31" s="334"/>
      <c r="PK31" s="334"/>
      <c r="PL31" s="334"/>
      <c r="PM31" s="334"/>
      <c r="PN31" s="334"/>
      <c r="PO31" s="334"/>
      <c r="PP31" s="334"/>
      <c r="PQ31" s="334"/>
      <c r="PR31" s="334"/>
      <c r="PS31" s="334"/>
      <c r="PT31" s="334"/>
      <c r="PU31" s="334"/>
      <c r="PV31" s="334"/>
      <c r="PW31" s="334"/>
      <c r="PX31" s="334"/>
      <c r="PY31" s="334"/>
      <c r="PZ31" s="334"/>
      <c r="QA31" s="334"/>
      <c r="QB31" s="334"/>
      <c r="QC31" s="334"/>
      <c r="QD31" s="334"/>
      <c r="QE31" s="334"/>
      <c r="QF31" s="334"/>
      <c r="QG31" s="334"/>
      <c r="QH31" s="334"/>
      <c r="QI31" s="334"/>
      <c r="QJ31" s="334"/>
      <c r="QK31" s="334"/>
      <c r="QL31" s="334"/>
      <c r="QM31" s="334"/>
      <c r="QN31" s="334"/>
      <c r="QO31" s="334"/>
      <c r="QP31" s="334"/>
      <c r="QQ31" s="334"/>
      <c r="QR31" s="334"/>
      <c r="QS31" s="334"/>
      <c r="QT31" s="334"/>
      <c r="QU31" s="334"/>
      <c r="QV31" s="334"/>
      <c r="QW31" s="334"/>
      <c r="QX31" s="334"/>
      <c r="QY31" s="334"/>
      <c r="QZ31" s="334"/>
      <c r="RA31" s="334"/>
      <c r="RB31" s="334"/>
      <c r="RC31" s="334"/>
      <c r="RD31" s="334"/>
      <c r="RE31" s="334"/>
      <c r="RF31" s="334"/>
      <c r="RG31" s="334"/>
      <c r="RH31" s="334"/>
      <c r="RI31" s="334"/>
      <c r="RJ31" s="334"/>
      <c r="RK31" s="334"/>
      <c r="RL31" s="334"/>
      <c r="RM31" s="334"/>
      <c r="RN31" s="334"/>
      <c r="RO31" s="334"/>
      <c r="RP31" s="334"/>
      <c r="RQ31" s="334"/>
      <c r="RR31" s="334"/>
      <c r="RS31" s="334"/>
      <c r="RT31" s="334"/>
      <c r="RU31" s="334"/>
      <c r="RV31" s="334"/>
      <c r="RW31" s="334"/>
      <c r="RX31" s="334"/>
      <c r="RY31" s="334"/>
      <c r="RZ31" s="334"/>
      <c r="SA31" s="334"/>
      <c r="SB31" s="334"/>
      <c r="SC31" s="334"/>
      <c r="SD31" s="334"/>
      <c r="SE31" s="334"/>
      <c r="SF31" s="334"/>
      <c r="SG31" s="334"/>
      <c r="SH31" s="334"/>
      <c r="SI31" s="334"/>
      <c r="SJ31" s="334"/>
      <c r="SK31" s="334"/>
      <c r="SL31" s="334"/>
      <c r="SM31" s="334"/>
      <c r="SN31" s="334"/>
      <c r="SO31" s="334"/>
      <c r="SP31" s="334"/>
      <c r="SQ31" s="334"/>
      <c r="SR31" s="334"/>
      <c r="SS31" s="334"/>
      <c r="ST31" s="334"/>
      <c r="SU31" s="334"/>
      <c r="SV31" s="334"/>
      <c r="SW31" s="334"/>
      <c r="SX31" s="334"/>
      <c r="SY31" s="334"/>
      <c r="SZ31" s="334"/>
      <c r="TA31" s="334"/>
      <c r="TB31" s="334"/>
      <c r="TC31" s="334"/>
      <c r="TD31" s="334"/>
      <c r="TE31" s="334"/>
      <c r="TF31" s="334"/>
      <c r="TG31" s="334"/>
      <c r="TH31" s="334"/>
      <c r="TI31" s="334"/>
      <c r="TJ31" s="334"/>
      <c r="TK31" s="334"/>
      <c r="TL31" s="334"/>
      <c r="TM31" s="334"/>
      <c r="TN31" s="334"/>
      <c r="TO31" s="334"/>
      <c r="TP31" s="334"/>
      <c r="TQ31" s="334"/>
      <c r="TR31" s="334"/>
      <c r="TS31" s="334"/>
      <c r="TT31" s="334"/>
      <c r="TU31" s="334"/>
      <c r="TV31" s="334"/>
      <c r="TW31" s="334"/>
      <c r="TX31" s="334"/>
      <c r="TY31" s="334"/>
      <c r="TZ31" s="334"/>
      <c r="UA31" s="334"/>
      <c r="UB31" s="334"/>
      <c r="UC31" s="334"/>
      <c r="UD31" s="334"/>
      <c r="UE31" s="334"/>
      <c r="UF31" s="334"/>
      <c r="UG31" s="334"/>
      <c r="UH31" s="334"/>
      <c r="UI31" s="334"/>
      <c r="UJ31" s="334"/>
      <c r="UK31" s="334"/>
      <c r="UL31" s="334"/>
      <c r="UM31" s="334"/>
      <c r="UN31" s="334"/>
      <c r="UO31" s="334"/>
      <c r="UP31" s="334"/>
      <c r="UQ31" s="334"/>
      <c r="UR31" s="334"/>
      <c r="US31" s="334"/>
      <c r="UT31" s="334"/>
      <c r="UU31" s="334"/>
      <c r="UV31" s="334"/>
      <c r="UW31" s="334"/>
      <c r="UX31" s="334"/>
      <c r="UY31" s="334"/>
      <c r="UZ31" s="334"/>
      <c r="VA31" s="334"/>
      <c r="VB31" s="334"/>
      <c r="VC31" s="334"/>
      <c r="VD31" s="334"/>
      <c r="VE31" s="334"/>
      <c r="VF31" s="334"/>
      <c r="VG31" s="334"/>
      <c r="VH31" s="334"/>
      <c r="VI31" s="334"/>
      <c r="VJ31" s="334"/>
      <c r="VK31" s="334"/>
      <c r="VL31" s="334"/>
      <c r="VM31" s="334"/>
      <c r="VN31" s="334"/>
      <c r="VO31" s="334"/>
      <c r="VP31" s="334"/>
      <c r="VQ31" s="334"/>
      <c r="VR31" s="334"/>
      <c r="VS31" s="334"/>
      <c r="VT31" s="334"/>
      <c r="VU31" s="334"/>
      <c r="VV31" s="334"/>
      <c r="VW31" s="334"/>
      <c r="VX31" s="334"/>
      <c r="VY31" s="334"/>
      <c r="VZ31" s="334"/>
      <c r="WA31" s="334"/>
      <c r="WB31" s="334"/>
      <c r="WC31" s="334"/>
      <c r="WD31" s="334"/>
      <c r="WE31" s="334"/>
      <c r="WF31" s="334"/>
      <c r="WG31" s="334"/>
      <c r="WH31" s="334"/>
      <c r="WI31" s="334"/>
      <c r="WJ31" s="334"/>
      <c r="WK31" s="334"/>
      <c r="WL31" s="334"/>
      <c r="WM31" s="334"/>
      <c r="WN31" s="334"/>
      <c r="WO31" s="334"/>
      <c r="WP31" s="334"/>
      <c r="WQ31" s="334"/>
      <c r="WR31" s="334"/>
      <c r="WS31" s="334"/>
      <c r="WT31" s="334"/>
      <c r="WU31" s="334"/>
      <c r="WV31" s="334"/>
      <c r="WW31" s="334"/>
      <c r="WX31" s="334"/>
      <c r="WY31" s="334"/>
      <c r="WZ31" s="334"/>
      <c r="XA31" s="334"/>
      <c r="XB31" s="334"/>
      <c r="XC31" s="334"/>
      <c r="XD31" s="334"/>
      <c r="XE31" s="334"/>
      <c r="XF31" s="334"/>
      <c r="XG31" s="334"/>
      <c r="XH31" s="334"/>
      <c r="XI31" s="334"/>
      <c r="XJ31" s="334"/>
      <c r="XK31" s="334"/>
      <c r="XL31" s="334"/>
      <c r="XM31" s="334"/>
      <c r="XN31" s="334"/>
      <c r="XO31" s="334"/>
      <c r="XP31" s="334"/>
      <c r="XQ31" s="334"/>
      <c r="XR31" s="334"/>
      <c r="XS31" s="334"/>
      <c r="XT31" s="334"/>
      <c r="XU31" s="334"/>
      <c r="XV31" s="334"/>
      <c r="XW31" s="334"/>
      <c r="XX31" s="334"/>
      <c r="XY31" s="334"/>
      <c r="XZ31" s="334"/>
      <c r="YA31" s="334"/>
      <c r="YB31" s="334"/>
      <c r="YC31" s="334"/>
      <c r="YD31" s="334"/>
      <c r="YE31" s="334"/>
      <c r="YF31" s="334"/>
      <c r="YG31" s="334"/>
      <c r="YH31" s="334"/>
      <c r="YI31" s="334"/>
      <c r="YJ31" s="334"/>
      <c r="YK31" s="334"/>
      <c r="YL31" s="334"/>
      <c r="YM31" s="334"/>
      <c r="YN31" s="334"/>
      <c r="YO31" s="334"/>
      <c r="YP31" s="334"/>
      <c r="YQ31" s="334"/>
      <c r="YR31" s="334"/>
      <c r="YS31" s="334"/>
      <c r="YT31" s="334"/>
      <c r="YU31" s="334"/>
      <c r="YV31" s="334"/>
      <c r="YW31" s="334"/>
      <c r="YX31" s="334"/>
      <c r="YY31" s="334"/>
      <c r="YZ31" s="334"/>
      <c r="ZA31" s="334"/>
      <c r="ZB31" s="334"/>
      <c r="ZC31" s="334"/>
      <c r="ZD31" s="334"/>
      <c r="ZE31" s="334"/>
      <c r="ZF31" s="334"/>
      <c r="ZG31" s="334"/>
      <c r="ZH31" s="334"/>
      <c r="ZI31" s="334"/>
      <c r="ZJ31" s="334"/>
      <c r="ZK31" s="334"/>
      <c r="ZL31" s="334"/>
      <c r="ZM31" s="334"/>
      <c r="ZN31" s="334"/>
      <c r="ZO31" s="334"/>
      <c r="ZP31" s="334"/>
      <c r="ZQ31" s="334"/>
      <c r="ZR31" s="334"/>
      <c r="ZS31" s="334"/>
      <c r="ZT31" s="334"/>
      <c r="ZU31" s="334"/>
      <c r="ZV31" s="334"/>
      <c r="ZW31" s="334"/>
      <c r="ZX31" s="334"/>
      <c r="ZY31" s="334"/>
      <c r="ZZ31" s="334"/>
      <c r="AAA31" s="334"/>
      <c r="AAB31" s="334"/>
      <c r="AAC31" s="334"/>
      <c r="AAD31" s="334"/>
      <c r="AAE31" s="334"/>
      <c r="AAF31" s="334"/>
      <c r="AAG31" s="334"/>
      <c r="AAH31" s="334"/>
      <c r="AAI31" s="334"/>
      <c r="AAJ31" s="334"/>
      <c r="AAK31" s="334"/>
      <c r="AAL31" s="334"/>
      <c r="AAM31" s="334"/>
      <c r="AAN31" s="334"/>
      <c r="AAO31" s="334"/>
      <c r="AAP31" s="334"/>
      <c r="AAQ31" s="334"/>
      <c r="AAR31" s="334"/>
      <c r="AAS31" s="334"/>
      <c r="AAT31" s="334"/>
      <c r="AAU31" s="334"/>
      <c r="AAV31" s="334"/>
      <c r="AAW31" s="334"/>
      <c r="AAX31" s="334"/>
      <c r="AAY31" s="334"/>
      <c r="AAZ31" s="334"/>
      <c r="ABA31" s="334"/>
      <c r="ABB31" s="334"/>
      <c r="ABC31" s="334"/>
      <c r="ABD31" s="334"/>
      <c r="ABE31" s="334"/>
      <c r="ABF31" s="334"/>
      <c r="ABG31" s="334"/>
      <c r="ABH31" s="334"/>
      <c r="ABI31" s="334"/>
      <c r="ABJ31" s="334"/>
      <c r="ABK31" s="334"/>
      <c r="ABL31" s="334"/>
      <c r="ABM31" s="334"/>
      <c r="ABN31" s="334"/>
      <c r="ABO31" s="334"/>
      <c r="ABP31" s="334"/>
      <c r="ABQ31" s="334"/>
      <c r="ABR31" s="334"/>
      <c r="ABS31" s="334"/>
      <c r="ABT31" s="334"/>
      <c r="ABU31" s="334"/>
      <c r="ABV31" s="334"/>
      <c r="ABW31" s="334"/>
      <c r="ABX31" s="334"/>
      <c r="ABY31" s="334"/>
      <c r="ABZ31" s="334"/>
      <c r="ACA31" s="334"/>
      <c r="ACB31" s="334"/>
      <c r="ACC31" s="334"/>
      <c r="ACD31" s="334"/>
      <c r="ACE31" s="334"/>
      <c r="ACF31" s="334"/>
      <c r="ACG31" s="334"/>
      <c r="ACH31" s="334"/>
      <c r="ACI31" s="334"/>
      <c r="ACJ31" s="334"/>
      <c r="ACK31" s="334"/>
      <c r="ACL31" s="334"/>
      <c r="ACM31" s="334"/>
      <c r="ACN31" s="334"/>
      <c r="ACO31" s="334"/>
      <c r="ACP31" s="334"/>
      <c r="ACQ31" s="334"/>
      <c r="ACR31" s="334"/>
      <c r="ACS31" s="334"/>
      <c r="ACT31" s="334"/>
      <c r="ACU31" s="334"/>
      <c r="ACV31" s="334"/>
      <c r="ACW31" s="334"/>
      <c r="ACX31" s="334"/>
      <c r="ACY31" s="334"/>
      <c r="ACZ31" s="334"/>
      <c r="ADA31" s="334"/>
      <c r="ADB31" s="334"/>
      <c r="ADC31" s="334"/>
      <c r="ADD31" s="334"/>
      <c r="ADE31" s="334"/>
      <c r="ADF31" s="334"/>
      <c r="ADG31" s="334"/>
      <c r="ADH31" s="334"/>
      <c r="ADI31" s="334"/>
      <c r="ADJ31" s="334"/>
      <c r="ADK31" s="334"/>
      <c r="ADL31" s="334"/>
      <c r="ADM31" s="334"/>
      <c r="ADN31" s="334"/>
      <c r="ADO31" s="334"/>
      <c r="ADP31" s="334"/>
      <c r="ADQ31" s="334"/>
      <c r="ADR31" s="334"/>
      <c r="ADS31" s="334"/>
      <c r="ADT31" s="334"/>
      <c r="ADU31" s="334"/>
      <c r="ADV31" s="334"/>
      <c r="ADW31" s="334"/>
      <c r="ADX31" s="334"/>
      <c r="ADY31" s="334"/>
      <c r="ADZ31" s="334"/>
      <c r="AEA31" s="334"/>
      <c r="AEB31" s="334"/>
      <c r="AEC31" s="334"/>
      <c r="AED31" s="334"/>
      <c r="AEE31" s="334"/>
      <c r="AEF31" s="334"/>
      <c r="AEG31" s="334"/>
      <c r="AEH31" s="334"/>
      <c r="AEI31" s="334"/>
      <c r="AEJ31" s="334"/>
      <c r="AEK31" s="334"/>
      <c r="AEL31" s="334"/>
      <c r="AEM31" s="334"/>
      <c r="AEN31" s="334"/>
      <c r="AEO31" s="334"/>
      <c r="AEP31" s="334"/>
      <c r="AEQ31" s="334"/>
      <c r="AER31" s="334"/>
      <c r="AES31" s="334"/>
      <c r="AET31" s="334"/>
      <c r="AEU31" s="334"/>
      <c r="AEV31" s="334"/>
      <c r="AEW31" s="334"/>
      <c r="AEX31" s="334"/>
      <c r="AEY31" s="334"/>
      <c r="AEZ31" s="334"/>
      <c r="AFA31" s="334"/>
      <c r="AFB31" s="334"/>
      <c r="AFC31" s="334"/>
      <c r="AFD31" s="334"/>
      <c r="AFE31" s="334"/>
      <c r="AFF31" s="334"/>
      <c r="AFG31" s="334"/>
      <c r="AFH31" s="334"/>
      <c r="AFI31" s="334"/>
      <c r="AFJ31" s="334"/>
      <c r="AFK31" s="334"/>
      <c r="AFL31" s="334"/>
      <c r="AFM31" s="334"/>
      <c r="AFN31" s="334"/>
      <c r="AFO31" s="334"/>
      <c r="AFP31" s="334"/>
      <c r="AFQ31" s="334"/>
      <c r="AFR31" s="334"/>
      <c r="AFS31" s="334"/>
      <c r="AFT31" s="334"/>
      <c r="AFU31" s="334"/>
      <c r="AFV31" s="334"/>
      <c r="AFW31" s="334"/>
      <c r="AFX31" s="334"/>
      <c r="AFY31" s="334"/>
      <c r="AFZ31" s="334"/>
      <c r="AGA31" s="334"/>
      <c r="AGB31" s="334"/>
      <c r="AGC31" s="334"/>
      <c r="AGD31" s="334"/>
      <c r="AGE31" s="334"/>
      <c r="AGF31" s="334"/>
      <c r="AGG31" s="334"/>
      <c r="AGH31" s="334"/>
      <c r="AGI31" s="334"/>
      <c r="AGJ31" s="334"/>
      <c r="AGK31" s="334"/>
      <c r="AGL31" s="334"/>
      <c r="AGM31" s="334"/>
      <c r="AGN31" s="334"/>
      <c r="AGO31" s="334"/>
      <c r="AGP31" s="334"/>
      <c r="AGQ31" s="334"/>
      <c r="AGR31" s="334"/>
      <c r="AGS31" s="334"/>
      <c r="AGT31" s="334"/>
      <c r="AGU31" s="334"/>
      <c r="AGV31" s="334"/>
      <c r="AGW31" s="334"/>
      <c r="AGX31" s="334"/>
      <c r="AGY31" s="334"/>
      <c r="AGZ31" s="334"/>
      <c r="AHA31" s="334"/>
      <c r="AHB31" s="334"/>
      <c r="AHC31" s="334"/>
      <c r="AHD31" s="334"/>
      <c r="AHE31" s="334"/>
      <c r="AHF31" s="334"/>
      <c r="AHG31" s="334"/>
      <c r="AHH31" s="334"/>
      <c r="AHI31" s="334"/>
      <c r="AHJ31" s="334"/>
      <c r="AHK31" s="334"/>
      <c r="AHL31" s="334"/>
      <c r="AHM31" s="334"/>
      <c r="AHN31" s="334"/>
      <c r="AHO31" s="334"/>
      <c r="AHP31" s="334"/>
      <c r="AHQ31" s="334"/>
      <c r="AHR31" s="334"/>
      <c r="AHS31" s="334"/>
      <c r="AHT31" s="334"/>
      <c r="AHU31" s="334"/>
      <c r="AHV31" s="334"/>
      <c r="AHW31" s="334"/>
      <c r="AHX31" s="334"/>
      <c r="AHY31" s="334"/>
      <c r="AHZ31" s="334"/>
      <c r="AIA31" s="334"/>
      <c r="AIB31" s="334"/>
      <c r="AIC31" s="334"/>
      <c r="AID31" s="334"/>
      <c r="AIE31" s="334"/>
      <c r="AIF31" s="334"/>
      <c r="AIG31" s="334"/>
      <c r="AIH31" s="334"/>
      <c r="AII31" s="334"/>
      <c r="AIJ31" s="334"/>
      <c r="AIK31" s="334"/>
      <c r="AIL31" s="334"/>
      <c r="AIM31" s="334"/>
      <c r="AIN31" s="334"/>
      <c r="AIO31" s="334"/>
      <c r="AIP31" s="334"/>
      <c r="AIQ31" s="334"/>
      <c r="AIR31" s="334"/>
      <c r="AIS31" s="334"/>
      <c r="AIT31" s="334"/>
      <c r="AIU31" s="334"/>
      <c r="AIV31" s="334"/>
      <c r="AIW31" s="334"/>
      <c r="AIX31" s="334"/>
      <c r="AIY31" s="334"/>
      <c r="AIZ31" s="334"/>
      <c r="AJA31" s="334"/>
      <c r="AJB31" s="334"/>
      <c r="AJC31" s="334"/>
      <c r="AJD31" s="334"/>
      <c r="AJE31" s="334"/>
      <c r="AJF31" s="334"/>
      <c r="AJG31" s="334"/>
      <c r="AJH31" s="334"/>
      <c r="AJI31" s="334"/>
      <c r="AJJ31" s="334"/>
      <c r="AJK31" s="334"/>
      <c r="AJL31" s="334"/>
      <c r="AJM31" s="334"/>
      <c r="AJN31" s="334"/>
      <c r="AJO31" s="334"/>
      <c r="AJP31" s="334"/>
      <c r="AJQ31" s="334"/>
      <c r="AJR31" s="334"/>
      <c r="AJS31" s="334"/>
      <c r="AJT31" s="334"/>
      <c r="AJU31" s="334"/>
      <c r="AJV31" s="334"/>
      <c r="AJW31" s="334"/>
      <c r="AJX31" s="334"/>
      <c r="AJY31" s="334"/>
      <c r="AJZ31" s="334"/>
      <c r="AKA31" s="334"/>
      <c r="AKB31" s="334"/>
      <c r="AKC31" s="334"/>
      <c r="AKD31" s="334"/>
      <c r="AKE31" s="334"/>
      <c r="AKF31" s="334"/>
      <c r="AKG31" s="334"/>
      <c r="AKH31" s="334"/>
      <c r="AKI31" s="334"/>
      <c r="AKJ31" s="334"/>
      <c r="AKK31" s="334"/>
      <c r="AKL31" s="334"/>
      <c r="AKM31" s="334"/>
      <c r="AKN31" s="334"/>
      <c r="AKO31" s="334"/>
      <c r="AKP31" s="334"/>
      <c r="AKQ31" s="334"/>
      <c r="AKR31" s="334"/>
      <c r="AKS31" s="334"/>
      <c r="AKT31" s="334"/>
      <c r="AKU31" s="334"/>
      <c r="AKV31" s="334"/>
      <c r="AKW31" s="334"/>
      <c r="AKX31" s="334"/>
      <c r="AKY31" s="334"/>
      <c r="AKZ31" s="334"/>
      <c r="ALA31" s="334"/>
      <c r="ALB31" s="334"/>
      <c r="ALC31" s="334"/>
      <c r="ALD31" s="334"/>
      <c r="ALE31" s="334"/>
      <c r="ALF31" s="334"/>
      <c r="ALG31" s="334"/>
      <c r="ALH31" s="334"/>
      <c r="ALI31" s="334"/>
      <c r="ALJ31" s="334"/>
      <c r="ALK31" s="334"/>
      <c r="ALL31" s="334"/>
      <c r="ALM31" s="334"/>
      <c r="ALN31" s="334"/>
      <c r="ALO31" s="334"/>
      <c r="ALP31" s="334"/>
      <c r="ALQ31" s="334"/>
      <c r="ALR31" s="334"/>
      <c r="ALS31" s="334"/>
      <c r="ALT31" s="334"/>
      <c r="ALU31" s="334"/>
      <c r="ALV31" s="334"/>
      <c r="ALW31" s="334"/>
      <c r="ALX31" s="334"/>
      <c r="ALY31" s="334"/>
      <c r="ALZ31" s="334"/>
      <c r="AMA31" s="334"/>
      <c r="AMB31" s="334"/>
      <c r="AMC31" s="334"/>
      <c r="AMD31" s="334"/>
      <c r="AME31" s="334"/>
      <c r="AMF31" s="334"/>
      <c r="AMG31" s="334"/>
      <c r="AMH31" s="334"/>
      <c r="AMI31" s="334"/>
      <c r="AMJ31" s="334"/>
      <c r="AMK31" s="334"/>
      <c r="AML31" s="334"/>
      <c r="AMM31" s="334"/>
      <c r="AMN31" s="334"/>
      <c r="AMO31" s="334"/>
      <c r="AMP31" s="334"/>
      <c r="AMQ31" s="334"/>
      <c r="AMR31" s="334"/>
      <c r="AMS31" s="334"/>
      <c r="AMT31" s="334"/>
      <c r="AMU31" s="334"/>
      <c r="AMV31" s="334"/>
      <c r="AMW31" s="334"/>
      <c r="AMX31" s="334"/>
      <c r="AMY31" s="334"/>
      <c r="AMZ31" s="334"/>
    </row>
    <row r="32" spans="1:1040" s="333" customFormat="1" ht="13.2" x14ac:dyDescent="0.25">
      <c r="A32" s="334"/>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5"/>
      <c r="AW32" s="334"/>
      <c r="AX32" s="334"/>
      <c r="AY32" s="334"/>
      <c r="AZ32" s="334"/>
      <c r="BA32" s="334"/>
      <c r="BB32" s="334"/>
      <c r="BC32" s="334"/>
      <c r="BD32" s="334"/>
      <c r="BE32" s="334"/>
      <c r="BF32" s="334"/>
      <c r="BG32" s="334"/>
      <c r="BH32" s="334"/>
      <c r="BI32" s="334"/>
      <c r="BJ32" s="334"/>
      <c r="BK32" s="334"/>
      <c r="BL32" s="334"/>
      <c r="BM32" s="334"/>
      <c r="BN32" s="334"/>
      <c r="BO32" s="334"/>
      <c r="BP32" s="334"/>
      <c r="BQ32" s="334"/>
      <c r="BR32" s="334"/>
      <c r="BS32" s="334"/>
      <c r="BT32" s="334"/>
      <c r="BU32" s="334"/>
      <c r="BV32" s="334"/>
      <c r="BW32" s="334"/>
      <c r="BX32" s="334"/>
      <c r="BY32" s="334"/>
      <c r="BZ32" s="334"/>
      <c r="CA32" s="334"/>
      <c r="CB32" s="334"/>
      <c r="CC32" s="334"/>
      <c r="CD32" s="334"/>
      <c r="CE32" s="334"/>
      <c r="CF32" s="334"/>
      <c r="CG32" s="334"/>
      <c r="CH32" s="334"/>
      <c r="CI32" s="334"/>
      <c r="CJ32" s="334"/>
      <c r="CK32" s="334"/>
      <c r="CL32" s="334"/>
      <c r="CM32" s="334"/>
      <c r="CN32" s="334"/>
      <c r="CO32" s="334"/>
      <c r="CP32" s="334"/>
      <c r="CQ32" s="334"/>
      <c r="CR32" s="334"/>
      <c r="CS32" s="334"/>
      <c r="CT32" s="334"/>
      <c r="CU32" s="334"/>
      <c r="CV32" s="334"/>
      <c r="CW32" s="334"/>
      <c r="CX32" s="334"/>
      <c r="CY32" s="334"/>
      <c r="CZ32" s="334"/>
      <c r="DA32" s="334"/>
      <c r="DB32" s="334"/>
      <c r="DC32" s="334"/>
      <c r="DD32" s="334"/>
      <c r="DE32" s="334"/>
      <c r="DF32" s="334"/>
      <c r="DG32" s="334"/>
      <c r="DH32" s="334"/>
      <c r="DI32" s="334"/>
      <c r="DJ32" s="334"/>
      <c r="DK32" s="334"/>
      <c r="DL32" s="334"/>
      <c r="DM32" s="334"/>
      <c r="DN32" s="334"/>
      <c r="DO32" s="334"/>
      <c r="DP32" s="334"/>
      <c r="DQ32" s="334"/>
      <c r="DR32" s="334"/>
      <c r="DS32" s="334"/>
      <c r="DT32" s="334"/>
      <c r="DU32" s="334"/>
      <c r="DV32" s="334"/>
      <c r="DW32" s="334"/>
      <c r="DX32" s="334"/>
      <c r="DY32" s="334"/>
      <c r="DZ32" s="334"/>
      <c r="EA32" s="334"/>
      <c r="EB32" s="334"/>
      <c r="EC32" s="334"/>
      <c r="ED32" s="334"/>
      <c r="EE32" s="334"/>
      <c r="EF32" s="334"/>
      <c r="EG32" s="334"/>
      <c r="EH32" s="334"/>
      <c r="EI32" s="334"/>
      <c r="EJ32" s="334"/>
      <c r="EK32" s="334"/>
      <c r="EL32" s="334"/>
      <c r="EM32" s="334"/>
      <c r="EN32" s="334"/>
      <c r="EO32" s="334"/>
      <c r="EP32" s="334"/>
      <c r="EQ32" s="334"/>
      <c r="ER32" s="334"/>
      <c r="ES32" s="334"/>
      <c r="ET32" s="334"/>
      <c r="EU32" s="334"/>
      <c r="EV32" s="334"/>
      <c r="EW32" s="334"/>
      <c r="EX32" s="334"/>
      <c r="EY32" s="334"/>
      <c r="EZ32" s="334"/>
      <c r="FA32" s="334"/>
      <c r="FB32" s="334"/>
      <c r="FC32" s="334"/>
      <c r="FD32" s="334"/>
      <c r="FE32" s="334"/>
      <c r="FF32" s="334"/>
      <c r="FG32" s="334"/>
      <c r="FH32" s="334"/>
      <c r="FI32" s="334"/>
      <c r="FJ32" s="334"/>
      <c r="FK32" s="334"/>
      <c r="FL32" s="334"/>
      <c r="FM32" s="334"/>
      <c r="FN32" s="334"/>
      <c r="FO32" s="334"/>
      <c r="FP32" s="334"/>
      <c r="FQ32" s="334"/>
      <c r="FR32" s="334"/>
      <c r="FS32" s="334"/>
      <c r="FT32" s="334"/>
      <c r="FU32" s="334"/>
      <c r="FV32" s="334"/>
      <c r="FW32" s="334"/>
      <c r="FX32" s="334"/>
      <c r="FY32" s="334"/>
      <c r="FZ32" s="334"/>
      <c r="GA32" s="334"/>
      <c r="GB32" s="334"/>
      <c r="GC32" s="334"/>
      <c r="GD32" s="334"/>
      <c r="GE32" s="334"/>
      <c r="GF32" s="334"/>
      <c r="GG32" s="334"/>
      <c r="GH32" s="334"/>
      <c r="GI32" s="334"/>
      <c r="GJ32" s="334"/>
      <c r="GK32" s="334"/>
      <c r="GL32" s="334"/>
      <c r="GM32" s="334"/>
      <c r="GN32" s="334"/>
      <c r="GO32" s="334"/>
      <c r="GP32" s="334"/>
      <c r="GQ32" s="334"/>
      <c r="GR32" s="334"/>
      <c r="GS32" s="334"/>
      <c r="GT32" s="334"/>
      <c r="GU32" s="334"/>
      <c r="GV32" s="334"/>
      <c r="GW32" s="334"/>
      <c r="GX32" s="334"/>
      <c r="GY32" s="334"/>
      <c r="GZ32" s="334"/>
      <c r="HA32" s="334"/>
      <c r="HB32" s="334"/>
      <c r="HC32" s="334"/>
      <c r="HD32" s="334"/>
      <c r="HE32" s="334"/>
      <c r="HF32" s="334"/>
      <c r="HG32" s="334"/>
      <c r="HH32" s="334"/>
      <c r="HI32" s="334"/>
      <c r="HJ32" s="334"/>
      <c r="HK32" s="334"/>
      <c r="HL32" s="334"/>
      <c r="HM32" s="334"/>
      <c r="HN32" s="334"/>
      <c r="HO32" s="334"/>
      <c r="HP32" s="334"/>
      <c r="HQ32" s="334"/>
      <c r="HR32" s="334"/>
      <c r="HS32" s="334"/>
      <c r="HT32" s="334"/>
      <c r="HU32" s="334"/>
      <c r="HV32" s="334"/>
      <c r="HW32" s="334"/>
      <c r="HX32" s="334"/>
      <c r="HY32" s="334"/>
      <c r="HZ32" s="334"/>
      <c r="IA32" s="334"/>
      <c r="IB32" s="334"/>
      <c r="IC32" s="334"/>
      <c r="ID32" s="334"/>
      <c r="IE32" s="334"/>
      <c r="IF32" s="334"/>
      <c r="IG32" s="334"/>
      <c r="IH32" s="334"/>
      <c r="II32" s="334"/>
      <c r="IJ32" s="334"/>
      <c r="IK32" s="334"/>
      <c r="IL32" s="334"/>
      <c r="IM32" s="334"/>
      <c r="IN32" s="334"/>
      <c r="IO32" s="334"/>
      <c r="IP32" s="334"/>
      <c r="IQ32" s="334"/>
      <c r="IR32" s="334"/>
      <c r="IS32" s="334"/>
      <c r="IT32" s="334"/>
      <c r="IU32" s="334"/>
      <c r="IV32" s="334"/>
      <c r="IW32" s="334"/>
      <c r="IX32" s="334"/>
      <c r="IY32" s="334"/>
      <c r="IZ32" s="334"/>
      <c r="JA32" s="334"/>
      <c r="JB32" s="334"/>
      <c r="JC32" s="334"/>
      <c r="JD32" s="334"/>
      <c r="JE32" s="334"/>
      <c r="JF32" s="334"/>
      <c r="JG32" s="334"/>
      <c r="JH32" s="334"/>
      <c r="JI32" s="334"/>
      <c r="JJ32" s="334"/>
      <c r="JK32" s="334"/>
      <c r="JL32" s="334"/>
      <c r="JM32" s="334"/>
      <c r="JN32" s="334"/>
      <c r="JO32" s="334"/>
      <c r="JP32" s="334"/>
      <c r="JQ32" s="334"/>
      <c r="JR32" s="334"/>
      <c r="JS32" s="334"/>
      <c r="JT32" s="334"/>
      <c r="JU32" s="334"/>
      <c r="JV32" s="334"/>
      <c r="JW32" s="334"/>
      <c r="JX32" s="334"/>
      <c r="JY32" s="334"/>
      <c r="JZ32" s="334"/>
      <c r="KA32" s="334"/>
      <c r="KB32" s="334"/>
      <c r="KC32" s="334"/>
      <c r="KD32" s="334"/>
      <c r="KE32" s="334"/>
      <c r="KF32" s="334"/>
      <c r="KG32" s="334"/>
      <c r="KH32" s="334"/>
      <c r="KI32" s="334"/>
      <c r="KJ32" s="334"/>
      <c r="KK32" s="334"/>
      <c r="KL32" s="334"/>
      <c r="KM32" s="334"/>
      <c r="KN32" s="334"/>
      <c r="KO32" s="334"/>
      <c r="KP32" s="334"/>
      <c r="KQ32" s="334"/>
      <c r="KR32" s="334"/>
      <c r="KS32" s="334"/>
      <c r="KT32" s="334"/>
      <c r="KU32" s="334"/>
      <c r="KV32" s="334"/>
      <c r="KW32" s="334"/>
      <c r="KX32" s="334"/>
      <c r="KY32" s="334"/>
      <c r="KZ32" s="334"/>
      <c r="LA32" s="334"/>
      <c r="LB32" s="334"/>
      <c r="LC32" s="334"/>
      <c r="LD32" s="334"/>
      <c r="LE32" s="334"/>
      <c r="LF32" s="334"/>
      <c r="LG32" s="334"/>
      <c r="LH32" s="334"/>
      <c r="LI32" s="334"/>
      <c r="LJ32" s="334"/>
      <c r="LK32" s="334"/>
      <c r="LL32" s="334"/>
      <c r="LM32" s="334"/>
      <c r="LN32" s="334"/>
      <c r="LO32" s="334"/>
      <c r="LP32" s="334"/>
      <c r="LQ32" s="334"/>
      <c r="LR32" s="334"/>
      <c r="LS32" s="334"/>
      <c r="LT32" s="334"/>
      <c r="LU32" s="334"/>
      <c r="LV32" s="334"/>
      <c r="LW32" s="334"/>
      <c r="LX32" s="334"/>
      <c r="LY32" s="334"/>
      <c r="LZ32" s="334"/>
      <c r="MA32" s="334"/>
      <c r="MB32" s="334"/>
      <c r="MC32" s="334"/>
      <c r="MD32" s="334"/>
      <c r="ME32" s="334"/>
      <c r="MF32" s="334"/>
      <c r="MG32" s="334"/>
      <c r="MH32" s="334"/>
      <c r="MI32" s="334"/>
      <c r="MJ32" s="334"/>
      <c r="MK32" s="334"/>
      <c r="ML32" s="334"/>
      <c r="MM32" s="334"/>
      <c r="MN32" s="334"/>
      <c r="MO32" s="334"/>
      <c r="MP32" s="334"/>
      <c r="MQ32" s="334"/>
      <c r="MR32" s="334"/>
      <c r="MS32" s="334"/>
      <c r="MT32" s="334"/>
      <c r="MU32" s="334"/>
      <c r="MV32" s="334"/>
      <c r="MW32" s="334"/>
      <c r="MX32" s="334"/>
      <c r="MY32" s="334"/>
      <c r="MZ32" s="334"/>
      <c r="NA32" s="334"/>
      <c r="NB32" s="334"/>
      <c r="NC32" s="334"/>
      <c r="ND32" s="334"/>
      <c r="NE32" s="334"/>
      <c r="NF32" s="334"/>
      <c r="NG32" s="334"/>
      <c r="NH32" s="334"/>
      <c r="NI32" s="334"/>
      <c r="NJ32" s="334"/>
      <c r="NK32" s="334"/>
      <c r="NL32" s="334"/>
      <c r="NM32" s="334"/>
      <c r="NN32" s="334"/>
      <c r="NO32" s="334"/>
      <c r="NP32" s="334"/>
      <c r="NQ32" s="334"/>
      <c r="NR32" s="334"/>
      <c r="NS32" s="334"/>
      <c r="NT32" s="334"/>
      <c r="NU32" s="334"/>
      <c r="NV32" s="334"/>
      <c r="NW32" s="334"/>
      <c r="NX32" s="334"/>
      <c r="NY32" s="334"/>
      <c r="NZ32" s="334"/>
      <c r="OA32" s="334"/>
      <c r="OB32" s="334"/>
      <c r="OC32" s="334"/>
      <c r="OD32" s="334"/>
      <c r="OE32" s="334"/>
      <c r="OF32" s="334"/>
      <c r="OG32" s="334"/>
      <c r="OH32" s="334"/>
      <c r="OI32" s="334"/>
      <c r="OJ32" s="334"/>
      <c r="OK32" s="334"/>
      <c r="OL32" s="334"/>
      <c r="OM32" s="334"/>
      <c r="ON32" s="334"/>
      <c r="OO32" s="334"/>
      <c r="OP32" s="334"/>
      <c r="OQ32" s="334"/>
      <c r="OR32" s="334"/>
      <c r="OS32" s="334"/>
      <c r="OT32" s="334"/>
      <c r="OU32" s="334"/>
      <c r="OV32" s="334"/>
      <c r="OW32" s="334"/>
      <c r="OX32" s="334"/>
      <c r="OY32" s="334"/>
      <c r="OZ32" s="334"/>
      <c r="PA32" s="334"/>
      <c r="PB32" s="334"/>
      <c r="PC32" s="334"/>
      <c r="PD32" s="334"/>
      <c r="PE32" s="334"/>
      <c r="PF32" s="334"/>
      <c r="PG32" s="334"/>
      <c r="PH32" s="334"/>
      <c r="PI32" s="334"/>
      <c r="PJ32" s="334"/>
      <c r="PK32" s="334"/>
      <c r="PL32" s="334"/>
      <c r="PM32" s="334"/>
      <c r="PN32" s="334"/>
      <c r="PO32" s="334"/>
      <c r="PP32" s="334"/>
      <c r="PQ32" s="334"/>
      <c r="PR32" s="334"/>
      <c r="PS32" s="334"/>
      <c r="PT32" s="334"/>
      <c r="PU32" s="334"/>
      <c r="PV32" s="334"/>
      <c r="PW32" s="334"/>
      <c r="PX32" s="334"/>
      <c r="PY32" s="334"/>
      <c r="PZ32" s="334"/>
      <c r="QA32" s="334"/>
      <c r="QB32" s="334"/>
      <c r="QC32" s="334"/>
      <c r="QD32" s="334"/>
      <c r="QE32" s="334"/>
      <c r="QF32" s="334"/>
      <c r="QG32" s="334"/>
      <c r="QH32" s="334"/>
      <c r="QI32" s="334"/>
      <c r="QJ32" s="334"/>
      <c r="QK32" s="334"/>
      <c r="QL32" s="334"/>
      <c r="QM32" s="334"/>
      <c r="QN32" s="334"/>
      <c r="QO32" s="334"/>
      <c r="QP32" s="334"/>
      <c r="QQ32" s="334"/>
      <c r="QR32" s="334"/>
      <c r="QS32" s="334"/>
      <c r="QT32" s="334"/>
      <c r="QU32" s="334"/>
      <c r="QV32" s="334"/>
      <c r="QW32" s="334"/>
      <c r="QX32" s="334"/>
      <c r="QY32" s="334"/>
      <c r="QZ32" s="334"/>
      <c r="RA32" s="334"/>
      <c r="RB32" s="334"/>
      <c r="RC32" s="334"/>
      <c r="RD32" s="334"/>
      <c r="RE32" s="334"/>
      <c r="RF32" s="334"/>
      <c r="RG32" s="334"/>
      <c r="RH32" s="334"/>
      <c r="RI32" s="334"/>
      <c r="RJ32" s="334"/>
      <c r="RK32" s="334"/>
      <c r="RL32" s="334"/>
      <c r="RM32" s="334"/>
      <c r="RN32" s="334"/>
      <c r="RO32" s="334"/>
      <c r="RP32" s="334"/>
      <c r="RQ32" s="334"/>
      <c r="RR32" s="334"/>
      <c r="RS32" s="334"/>
      <c r="RT32" s="334"/>
      <c r="RU32" s="334"/>
      <c r="RV32" s="334"/>
      <c r="RW32" s="334"/>
      <c r="RX32" s="334"/>
      <c r="RY32" s="334"/>
      <c r="RZ32" s="334"/>
      <c r="SA32" s="334"/>
      <c r="SB32" s="334"/>
      <c r="SC32" s="334"/>
      <c r="SD32" s="334"/>
      <c r="SE32" s="334"/>
      <c r="SF32" s="334"/>
      <c r="SG32" s="334"/>
      <c r="SH32" s="334"/>
      <c r="SI32" s="334"/>
      <c r="SJ32" s="334"/>
      <c r="SK32" s="334"/>
      <c r="SL32" s="334"/>
      <c r="SM32" s="334"/>
      <c r="SN32" s="334"/>
      <c r="SO32" s="334"/>
      <c r="SP32" s="334"/>
      <c r="SQ32" s="334"/>
      <c r="SR32" s="334"/>
      <c r="SS32" s="334"/>
      <c r="ST32" s="334"/>
      <c r="SU32" s="334"/>
      <c r="SV32" s="334"/>
      <c r="SW32" s="334"/>
      <c r="SX32" s="334"/>
      <c r="SY32" s="334"/>
      <c r="SZ32" s="334"/>
      <c r="TA32" s="334"/>
      <c r="TB32" s="334"/>
      <c r="TC32" s="334"/>
      <c r="TD32" s="334"/>
      <c r="TE32" s="334"/>
      <c r="TF32" s="334"/>
      <c r="TG32" s="334"/>
      <c r="TH32" s="334"/>
      <c r="TI32" s="334"/>
      <c r="TJ32" s="334"/>
      <c r="TK32" s="334"/>
      <c r="TL32" s="334"/>
      <c r="TM32" s="334"/>
      <c r="TN32" s="334"/>
      <c r="TO32" s="334"/>
      <c r="TP32" s="334"/>
      <c r="TQ32" s="334"/>
      <c r="TR32" s="334"/>
      <c r="TS32" s="334"/>
      <c r="TT32" s="334"/>
      <c r="TU32" s="334"/>
      <c r="TV32" s="334"/>
      <c r="TW32" s="334"/>
      <c r="TX32" s="334"/>
      <c r="TY32" s="334"/>
      <c r="TZ32" s="334"/>
      <c r="UA32" s="334"/>
      <c r="UB32" s="334"/>
      <c r="UC32" s="334"/>
      <c r="UD32" s="334"/>
      <c r="UE32" s="334"/>
      <c r="UF32" s="334"/>
      <c r="UG32" s="334"/>
      <c r="UH32" s="334"/>
      <c r="UI32" s="334"/>
      <c r="UJ32" s="334"/>
      <c r="UK32" s="334"/>
      <c r="UL32" s="334"/>
      <c r="UM32" s="334"/>
      <c r="UN32" s="334"/>
      <c r="UO32" s="334"/>
      <c r="UP32" s="334"/>
      <c r="UQ32" s="334"/>
      <c r="UR32" s="334"/>
      <c r="US32" s="334"/>
      <c r="UT32" s="334"/>
      <c r="UU32" s="334"/>
      <c r="UV32" s="334"/>
      <c r="UW32" s="334"/>
      <c r="UX32" s="334"/>
      <c r="UY32" s="334"/>
      <c r="UZ32" s="334"/>
      <c r="VA32" s="334"/>
      <c r="VB32" s="334"/>
      <c r="VC32" s="334"/>
      <c r="VD32" s="334"/>
      <c r="VE32" s="334"/>
      <c r="VF32" s="334"/>
      <c r="VG32" s="334"/>
      <c r="VH32" s="334"/>
      <c r="VI32" s="334"/>
      <c r="VJ32" s="334"/>
      <c r="VK32" s="334"/>
      <c r="VL32" s="334"/>
      <c r="VM32" s="334"/>
      <c r="VN32" s="334"/>
      <c r="VO32" s="334"/>
      <c r="VP32" s="334"/>
      <c r="VQ32" s="334"/>
      <c r="VR32" s="334"/>
      <c r="VS32" s="334"/>
      <c r="VT32" s="334"/>
      <c r="VU32" s="334"/>
      <c r="VV32" s="334"/>
      <c r="VW32" s="334"/>
      <c r="VX32" s="334"/>
      <c r="VY32" s="334"/>
      <c r="VZ32" s="334"/>
      <c r="WA32" s="334"/>
      <c r="WB32" s="334"/>
      <c r="WC32" s="334"/>
      <c r="WD32" s="334"/>
      <c r="WE32" s="334"/>
      <c r="WF32" s="334"/>
      <c r="WG32" s="334"/>
      <c r="WH32" s="334"/>
      <c r="WI32" s="334"/>
      <c r="WJ32" s="334"/>
      <c r="WK32" s="334"/>
      <c r="WL32" s="334"/>
      <c r="WM32" s="334"/>
      <c r="WN32" s="334"/>
      <c r="WO32" s="334"/>
      <c r="WP32" s="334"/>
      <c r="WQ32" s="334"/>
      <c r="WR32" s="334"/>
      <c r="WS32" s="334"/>
      <c r="WT32" s="334"/>
      <c r="WU32" s="334"/>
      <c r="WV32" s="334"/>
      <c r="WW32" s="334"/>
      <c r="WX32" s="334"/>
      <c r="WY32" s="334"/>
      <c r="WZ32" s="334"/>
      <c r="XA32" s="334"/>
      <c r="XB32" s="334"/>
      <c r="XC32" s="334"/>
      <c r="XD32" s="334"/>
      <c r="XE32" s="334"/>
      <c r="XF32" s="334"/>
      <c r="XG32" s="334"/>
      <c r="XH32" s="334"/>
      <c r="XI32" s="334"/>
      <c r="XJ32" s="334"/>
      <c r="XK32" s="334"/>
      <c r="XL32" s="334"/>
      <c r="XM32" s="334"/>
      <c r="XN32" s="334"/>
      <c r="XO32" s="334"/>
      <c r="XP32" s="334"/>
      <c r="XQ32" s="334"/>
      <c r="XR32" s="334"/>
      <c r="XS32" s="334"/>
      <c r="XT32" s="334"/>
      <c r="XU32" s="334"/>
      <c r="XV32" s="334"/>
      <c r="XW32" s="334"/>
      <c r="XX32" s="334"/>
      <c r="XY32" s="334"/>
      <c r="XZ32" s="334"/>
      <c r="YA32" s="334"/>
      <c r="YB32" s="334"/>
      <c r="YC32" s="334"/>
      <c r="YD32" s="334"/>
      <c r="YE32" s="334"/>
      <c r="YF32" s="334"/>
      <c r="YG32" s="334"/>
      <c r="YH32" s="334"/>
      <c r="YI32" s="334"/>
      <c r="YJ32" s="334"/>
      <c r="YK32" s="334"/>
      <c r="YL32" s="334"/>
      <c r="YM32" s="334"/>
      <c r="YN32" s="334"/>
      <c r="YO32" s="334"/>
      <c r="YP32" s="334"/>
      <c r="YQ32" s="334"/>
      <c r="YR32" s="334"/>
      <c r="YS32" s="334"/>
      <c r="YT32" s="334"/>
      <c r="YU32" s="334"/>
      <c r="YV32" s="334"/>
      <c r="YW32" s="334"/>
      <c r="YX32" s="334"/>
      <c r="YY32" s="334"/>
      <c r="YZ32" s="334"/>
      <c r="ZA32" s="334"/>
      <c r="ZB32" s="334"/>
      <c r="ZC32" s="334"/>
      <c r="ZD32" s="334"/>
      <c r="ZE32" s="334"/>
      <c r="ZF32" s="334"/>
      <c r="ZG32" s="334"/>
      <c r="ZH32" s="334"/>
      <c r="ZI32" s="334"/>
      <c r="ZJ32" s="334"/>
      <c r="ZK32" s="334"/>
      <c r="ZL32" s="334"/>
      <c r="ZM32" s="334"/>
      <c r="ZN32" s="334"/>
      <c r="ZO32" s="334"/>
      <c r="ZP32" s="334"/>
      <c r="ZQ32" s="334"/>
      <c r="ZR32" s="334"/>
      <c r="ZS32" s="334"/>
      <c r="ZT32" s="334"/>
      <c r="ZU32" s="334"/>
      <c r="ZV32" s="334"/>
      <c r="ZW32" s="334"/>
      <c r="ZX32" s="334"/>
      <c r="ZY32" s="334"/>
      <c r="ZZ32" s="334"/>
      <c r="AAA32" s="334"/>
      <c r="AAB32" s="334"/>
      <c r="AAC32" s="334"/>
      <c r="AAD32" s="334"/>
      <c r="AAE32" s="334"/>
      <c r="AAF32" s="334"/>
      <c r="AAG32" s="334"/>
      <c r="AAH32" s="334"/>
      <c r="AAI32" s="334"/>
      <c r="AAJ32" s="334"/>
      <c r="AAK32" s="334"/>
      <c r="AAL32" s="334"/>
      <c r="AAM32" s="334"/>
      <c r="AAN32" s="334"/>
      <c r="AAO32" s="334"/>
      <c r="AAP32" s="334"/>
      <c r="AAQ32" s="334"/>
      <c r="AAR32" s="334"/>
      <c r="AAS32" s="334"/>
      <c r="AAT32" s="334"/>
      <c r="AAU32" s="334"/>
      <c r="AAV32" s="334"/>
      <c r="AAW32" s="334"/>
      <c r="AAX32" s="334"/>
      <c r="AAY32" s="334"/>
      <c r="AAZ32" s="334"/>
      <c r="ABA32" s="334"/>
      <c r="ABB32" s="334"/>
      <c r="ABC32" s="334"/>
      <c r="ABD32" s="334"/>
      <c r="ABE32" s="334"/>
      <c r="ABF32" s="334"/>
      <c r="ABG32" s="334"/>
      <c r="ABH32" s="334"/>
      <c r="ABI32" s="334"/>
      <c r="ABJ32" s="334"/>
      <c r="ABK32" s="334"/>
      <c r="ABL32" s="334"/>
      <c r="ABM32" s="334"/>
      <c r="ABN32" s="334"/>
      <c r="ABO32" s="334"/>
      <c r="ABP32" s="334"/>
      <c r="ABQ32" s="334"/>
      <c r="ABR32" s="334"/>
      <c r="ABS32" s="334"/>
      <c r="ABT32" s="334"/>
      <c r="ABU32" s="334"/>
      <c r="ABV32" s="334"/>
      <c r="ABW32" s="334"/>
      <c r="ABX32" s="334"/>
      <c r="ABY32" s="334"/>
      <c r="ABZ32" s="334"/>
      <c r="ACA32" s="334"/>
      <c r="ACB32" s="334"/>
      <c r="ACC32" s="334"/>
      <c r="ACD32" s="334"/>
      <c r="ACE32" s="334"/>
      <c r="ACF32" s="334"/>
      <c r="ACG32" s="334"/>
      <c r="ACH32" s="334"/>
      <c r="ACI32" s="334"/>
      <c r="ACJ32" s="334"/>
      <c r="ACK32" s="334"/>
      <c r="ACL32" s="334"/>
      <c r="ACM32" s="334"/>
      <c r="ACN32" s="334"/>
      <c r="ACO32" s="334"/>
      <c r="ACP32" s="334"/>
      <c r="ACQ32" s="334"/>
      <c r="ACR32" s="334"/>
      <c r="ACS32" s="334"/>
      <c r="ACT32" s="334"/>
      <c r="ACU32" s="334"/>
      <c r="ACV32" s="334"/>
      <c r="ACW32" s="334"/>
      <c r="ACX32" s="334"/>
      <c r="ACY32" s="334"/>
      <c r="ACZ32" s="334"/>
      <c r="ADA32" s="334"/>
      <c r="ADB32" s="334"/>
      <c r="ADC32" s="334"/>
      <c r="ADD32" s="334"/>
      <c r="ADE32" s="334"/>
      <c r="ADF32" s="334"/>
      <c r="ADG32" s="334"/>
      <c r="ADH32" s="334"/>
      <c r="ADI32" s="334"/>
      <c r="ADJ32" s="334"/>
      <c r="ADK32" s="334"/>
      <c r="ADL32" s="334"/>
      <c r="ADM32" s="334"/>
      <c r="ADN32" s="334"/>
      <c r="ADO32" s="334"/>
      <c r="ADP32" s="334"/>
      <c r="ADQ32" s="334"/>
      <c r="ADR32" s="334"/>
      <c r="ADS32" s="334"/>
      <c r="ADT32" s="334"/>
      <c r="ADU32" s="334"/>
      <c r="ADV32" s="334"/>
      <c r="ADW32" s="334"/>
      <c r="ADX32" s="334"/>
      <c r="ADY32" s="334"/>
      <c r="ADZ32" s="334"/>
      <c r="AEA32" s="334"/>
      <c r="AEB32" s="334"/>
      <c r="AEC32" s="334"/>
      <c r="AED32" s="334"/>
      <c r="AEE32" s="334"/>
      <c r="AEF32" s="334"/>
      <c r="AEG32" s="334"/>
      <c r="AEH32" s="334"/>
      <c r="AEI32" s="334"/>
      <c r="AEJ32" s="334"/>
      <c r="AEK32" s="334"/>
      <c r="AEL32" s="334"/>
      <c r="AEM32" s="334"/>
      <c r="AEN32" s="334"/>
      <c r="AEO32" s="334"/>
      <c r="AEP32" s="334"/>
      <c r="AEQ32" s="334"/>
      <c r="AER32" s="334"/>
      <c r="AES32" s="334"/>
      <c r="AET32" s="334"/>
      <c r="AEU32" s="334"/>
      <c r="AEV32" s="334"/>
      <c r="AEW32" s="334"/>
      <c r="AEX32" s="334"/>
      <c r="AEY32" s="334"/>
      <c r="AEZ32" s="334"/>
      <c r="AFA32" s="334"/>
      <c r="AFB32" s="334"/>
      <c r="AFC32" s="334"/>
      <c r="AFD32" s="334"/>
      <c r="AFE32" s="334"/>
      <c r="AFF32" s="334"/>
      <c r="AFG32" s="334"/>
      <c r="AFH32" s="334"/>
      <c r="AFI32" s="334"/>
      <c r="AFJ32" s="334"/>
      <c r="AFK32" s="334"/>
      <c r="AFL32" s="334"/>
      <c r="AFM32" s="334"/>
      <c r="AFN32" s="334"/>
      <c r="AFO32" s="334"/>
      <c r="AFP32" s="334"/>
      <c r="AFQ32" s="334"/>
      <c r="AFR32" s="334"/>
      <c r="AFS32" s="334"/>
      <c r="AFT32" s="334"/>
      <c r="AFU32" s="334"/>
      <c r="AFV32" s="334"/>
      <c r="AFW32" s="334"/>
      <c r="AFX32" s="334"/>
      <c r="AFY32" s="334"/>
      <c r="AFZ32" s="334"/>
      <c r="AGA32" s="334"/>
      <c r="AGB32" s="334"/>
      <c r="AGC32" s="334"/>
      <c r="AGD32" s="334"/>
      <c r="AGE32" s="334"/>
      <c r="AGF32" s="334"/>
      <c r="AGG32" s="334"/>
      <c r="AGH32" s="334"/>
      <c r="AGI32" s="334"/>
      <c r="AGJ32" s="334"/>
      <c r="AGK32" s="334"/>
      <c r="AGL32" s="334"/>
      <c r="AGM32" s="334"/>
      <c r="AGN32" s="334"/>
      <c r="AGO32" s="334"/>
      <c r="AGP32" s="334"/>
      <c r="AGQ32" s="334"/>
      <c r="AGR32" s="334"/>
      <c r="AGS32" s="334"/>
      <c r="AGT32" s="334"/>
      <c r="AGU32" s="334"/>
      <c r="AGV32" s="334"/>
      <c r="AGW32" s="334"/>
      <c r="AGX32" s="334"/>
      <c r="AGY32" s="334"/>
      <c r="AGZ32" s="334"/>
      <c r="AHA32" s="334"/>
      <c r="AHB32" s="334"/>
      <c r="AHC32" s="334"/>
      <c r="AHD32" s="334"/>
      <c r="AHE32" s="334"/>
      <c r="AHF32" s="334"/>
      <c r="AHG32" s="334"/>
      <c r="AHH32" s="334"/>
      <c r="AHI32" s="334"/>
      <c r="AHJ32" s="334"/>
      <c r="AHK32" s="334"/>
      <c r="AHL32" s="334"/>
      <c r="AHM32" s="334"/>
      <c r="AHN32" s="334"/>
      <c r="AHO32" s="334"/>
      <c r="AHP32" s="334"/>
      <c r="AHQ32" s="334"/>
      <c r="AHR32" s="334"/>
      <c r="AHS32" s="334"/>
      <c r="AHT32" s="334"/>
      <c r="AHU32" s="334"/>
      <c r="AHV32" s="334"/>
      <c r="AHW32" s="334"/>
      <c r="AHX32" s="334"/>
      <c r="AHY32" s="334"/>
      <c r="AHZ32" s="334"/>
      <c r="AIA32" s="334"/>
      <c r="AIB32" s="334"/>
      <c r="AIC32" s="334"/>
      <c r="AID32" s="334"/>
      <c r="AIE32" s="334"/>
      <c r="AIF32" s="334"/>
      <c r="AIG32" s="334"/>
      <c r="AIH32" s="334"/>
      <c r="AII32" s="334"/>
      <c r="AIJ32" s="334"/>
      <c r="AIK32" s="334"/>
      <c r="AIL32" s="334"/>
      <c r="AIM32" s="334"/>
      <c r="AIN32" s="334"/>
      <c r="AIO32" s="334"/>
      <c r="AIP32" s="334"/>
      <c r="AIQ32" s="334"/>
      <c r="AIR32" s="334"/>
      <c r="AIS32" s="334"/>
      <c r="AIT32" s="334"/>
      <c r="AIU32" s="334"/>
      <c r="AIV32" s="334"/>
      <c r="AIW32" s="334"/>
      <c r="AIX32" s="334"/>
      <c r="AIY32" s="334"/>
      <c r="AIZ32" s="334"/>
      <c r="AJA32" s="334"/>
      <c r="AJB32" s="334"/>
      <c r="AJC32" s="334"/>
      <c r="AJD32" s="334"/>
      <c r="AJE32" s="334"/>
      <c r="AJF32" s="334"/>
      <c r="AJG32" s="334"/>
      <c r="AJH32" s="334"/>
      <c r="AJI32" s="334"/>
      <c r="AJJ32" s="334"/>
      <c r="AJK32" s="334"/>
      <c r="AJL32" s="334"/>
      <c r="AJM32" s="334"/>
      <c r="AJN32" s="334"/>
      <c r="AJO32" s="334"/>
      <c r="AJP32" s="334"/>
      <c r="AJQ32" s="334"/>
      <c r="AJR32" s="334"/>
      <c r="AJS32" s="334"/>
      <c r="AJT32" s="334"/>
      <c r="AJU32" s="334"/>
      <c r="AJV32" s="334"/>
      <c r="AJW32" s="334"/>
      <c r="AJX32" s="334"/>
      <c r="AJY32" s="334"/>
      <c r="AJZ32" s="334"/>
      <c r="AKA32" s="334"/>
      <c r="AKB32" s="334"/>
      <c r="AKC32" s="334"/>
      <c r="AKD32" s="334"/>
      <c r="AKE32" s="334"/>
      <c r="AKF32" s="334"/>
      <c r="AKG32" s="334"/>
      <c r="AKH32" s="334"/>
      <c r="AKI32" s="334"/>
      <c r="AKJ32" s="334"/>
      <c r="AKK32" s="334"/>
      <c r="AKL32" s="334"/>
      <c r="AKM32" s="334"/>
      <c r="AKN32" s="334"/>
      <c r="AKO32" s="334"/>
      <c r="AKP32" s="334"/>
      <c r="AKQ32" s="334"/>
      <c r="AKR32" s="334"/>
      <c r="AKS32" s="334"/>
      <c r="AKT32" s="334"/>
      <c r="AKU32" s="334"/>
      <c r="AKV32" s="334"/>
      <c r="AKW32" s="334"/>
      <c r="AKX32" s="334"/>
      <c r="AKY32" s="334"/>
      <c r="AKZ32" s="334"/>
      <c r="ALA32" s="334"/>
      <c r="ALB32" s="334"/>
      <c r="ALC32" s="334"/>
      <c r="ALD32" s="334"/>
      <c r="ALE32" s="334"/>
      <c r="ALF32" s="334"/>
      <c r="ALG32" s="334"/>
      <c r="ALH32" s="334"/>
      <c r="ALI32" s="334"/>
      <c r="ALJ32" s="334"/>
      <c r="ALK32" s="334"/>
      <c r="ALL32" s="334"/>
      <c r="ALM32" s="334"/>
      <c r="ALN32" s="334"/>
      <c r="ALO32" s="334"/>
      <c r="ALP32" s="334"/>
      <c r="ALQ32" s="334"/>
      <c r="ALR32" s="334"/>
      <c r="ALS32" s="334"/>
      <c r="ALT32" s="334"/>
      <c r="ALU32" s="334"/>
      <c r="ALV32" s="334"/>
      <c r="ALW32" s="334"/>
      <c r="ALX32" s="334"/>
      <c r="ALY32" s="334"/>
      <c r="ALZ32" s="334"/>
      <c r="AMA32" s="334"/>
      <c r="AMB32" s="334"/>
      <c r="AMC32" s="334"/>
      <c r="AMD32" s="334"/>
      <c r="AME32" s="334"/>
      <c r="AMF32" s="334"/>
      <c r="AMG32" s="334"/>
      <c r="AMH32" s="334"/>
      <c r="AMI32" s="334"/>
      <c r="AMJ32" s="334"/>
      <c r="AMK32" s="334"/>
      <c r="AML32" s="334"/>
      <c r="AMM32" s="334"/>
      <c r="AMN32" s="334"/>
      <c r="AMO32" s="334"/>
      <c r="AMP32" s="334"/>
      <c r="AMQ32" s="334"/>
      <c r="AMR32" s="334"/>
      <c r="AMS32" s="334"/>
      <c r="AMT32" s="334"/>
      <c r="AMU32" s="334"/>
      <c r="AMV32" s="334"/>
      <c r="AMW32" s="334"/>
      <c r="AMX32" s="334"/>
      <c r="AMY32" s="334"/>
      <c r="AMZ32" s="334"/>
    </row>
    <row r="33" spans="1:1040" s="333" customFormat="1" ht="13.2" x14ac:dyDescent="0.25">
      <c r="A33" s="334"/>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5"/>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c r="CO33" s="334"/>
      <c r="CP33" s="334"/>
      <c r="CQ33" s="334"/>
      <c r="CR33" s="334"/>
      <c r="CS33" s="334"/>
      <c r="CT33" s="334"/>
      <c r="CU33" s="334"/>
      <c r="CV33" s="334"/>
      <c r="CW33" s="334"/>
      <c r="CX33" s="334"/>
      <c r="CY33" s="334"/>
      <c r="CZ33" s="334"/>
      <c r="DA33" s="334"/>
      <c r="DB33" s="334"/>
      <c r="DC33" s="334"/>
      <c r="DD33" s="334"/>
      <c r="DE33" s="334"/>
      <c r="DF33" s="334"/>
      <c r="DG33" s="334"/>
      <c r="DH33" s="334"/>
      <c r="DI33" s="334"/>
      <c r="DJ33" s="334"/>
      <c r="DK33" s="334"/>
      <c r="DL33" s="334"/>
      <c r="DM33" s="334"/>
      <c r="DN33" s="334"/>
      <c r="DO33" s="334"/>
      <c r="DP33" s="334"/>
      <c r="DQ33" s="334"/>
      <c r="DR33" s="334"/>
      <c r="DS33" s="334"/>
      <c r="DT33" s="334"/>
      <c r="DU33" s="334"/>
      <c r="DV33" s="334"/>
      <c r="DW33" s="334"/>
      <c r="DX33" s="334"/>
      <c r="DY33" s="334"/>
      <c r="DZ33" s="334"/>
      <c r="EA33" s="334"/>
      <c r="EB33" s="334"/>
      <c r="EC33" s="334"/>
      <c r="ED33" s="334"/>
      <c r="EE33" s="334"/>
      <c r="EF33" s="334"/>
      <c r="EG33" s="334"/>
      <c r="EH33" s="334"/>
      <c r="EI33" s="334"/>
      <c r="EJ33" s="334"/>
      <c r="EK33" s="334"/>
      <c r="EL33" s="334"/>
      <c r="EM33" s="334"/>
      <c r="EN33" s="334"/>
      <c r="EO33" s="334"/>
      <c r="EP33" s="334"/>
      <c r="EQ33" s="334"/>
      <c r="ER33" s="334"/>
      <c r="ES33" s="334"/>
      <c r="ET33" s="334"/>
      <c r="EU33" s="334"/>
      <c r="EV33" s="334"/>
      <c r="EW33" s="334"/>
      <c r="EX33" s="334"/>
      <c r="EY33" s="334"/>
      <c r="EZ33" s="334"/>
      <c r="FA33" s="334"/>
      <c r="FB33" s="334"/>
      <c r="FC33" s="334"/>
      <c r="FD33" s="334"/>
      <c r="FE33" s="334"/>
      <c r="FF33" s="334"/>
      <c r="FG33" s="334"/>
      <c r="FH33" s="334"/>
      <c r="FI33" s="334"/>
      <c r="FJ33" s="334"/>
      <c r="FK33" s="334"/>
      <c r="FL33" s="334"/>
      <c r="FM33" s="334"/>
      <c r="FN33" s="334"/>
      <c r="FO33" s="334"/>
      <c r="FP33" s="334"/>
      <c r="FQ33" s="334"/>
      <c r="FR33" s="334"/>
      <c r="FS33" s="334"/>
      <c r="FT33" s="334"/>
      <c r="FU33" s="334"/>
      <c r="FV33" s="334"/>
      <c r="FW33" s="334"/>
      <c r="FX33" s="334"/>
      <c r="FY33" s="334"/>
      <c r="FZ33" s="334"/>
      <c r="GA33" s="334"/>
      <c r="GB33" s="334"/>
      <c r="GC33" s="334"/>
      <c r="GD33" s="334"/>
      <c r="GE33" s="334"/>
      <c r="GF33" s="334"/>
      <c r="GG33" s="334"/>
      <c r="GH33" s="334"/>
      <c r="GI33" s="334"/>
      <c r="GJ33" s="334"/>
      <c r="GK33" s="334"/>
      <c r="GL33" s="334"/>
      <c r="GM33" s="334"/>
      <c r="GN33" s="334"/>
      <c r="GO33" s="334"/>
      <c r="GP33" s="334"/>
      <c r="GQ33" s="334"/>
      <c r="GR33" s="334"/>
      <c r="GS33" s="334"/>
      <c r="GT33" s="334"/>
      <c r="GU33" s="334"/>
      <c r="GV33" s="334"/>
      <c r="GW33" s="334"/>
      <c r="GX33" s="334"/>
      <c r="GY33" s="334"/>
      <c r="GZ33" s="334"/>
      <c r="HA33" s="334"/>
      <c r="HB33" s="334"/>
      <c r="HC33" s="334"/>
      <c r="HD33" s="334"/>
      <c r="HE33" s="334"/>
      <c r="HF33" s="334"/>
      <c r="HG33" s="334"/>
      <c r="HH33" s="334"/>
      <c r="HI33" s="334"/>
      <c r="HJ33" s="334"/>
      <c r="HK33" s="334"/>
      <c r="HL33" s="334"/>
      <c r="HM33" s="334"/>
      <c r="HN33" s="334"/>
      <c r="HO33" s="334"/>
      <c r="HP33" s="334"/>
      <c r="HQ33" s="334"/>
      <c r="HR33" s="334"/>
      <c r="HS33" s="334"/>
      <c r="HT33" s="334"/>
      <c r="HU33" s="334"/>
      <c r="HV33" s="334"/>
      <c r="HW33" s="334"/>
      <c r="HX33" s="334"/>
      <c r="HY33" s="334"/>
      <c r="HZ33" s="334"/>
      <c r="IA33" s="334"/>
      <c r="IB33" s="334"/>
      <c r="IC33" s="334"/>
      <c r="ID33" s="334"/>
      <c r="IE33" s="334"/>
      <c r="IF33" s="334"/>
      <c r="IG33" s="334"/>
      <c r="IH33" s="334"/>
      <c r="II33" s="334"/>
      <c r="IJ33" s="334"/>
      <c r="IK33" s="334"/>
      <c r="IL33" s="334"/>
      <c r="IM33" s="334"/>
      <c r="IN33" s="334"/>
      <c r="IO33" s="334"/>
      <c r="IP33" s="334"/>
      <c r="IQ33" s="334"/>
      <c r="IR33" s="334"/>
      <c r="IS33" s="334"/>
      <c r="IT33" s="334"/>
      <c r="IU33" s="334"/>
      <c r="IV33" s="334"/>
      <c r="IW33" s="334"/>
      <c r="IX33" s="334"/>
      <c r="IY33" s="334"/>
      <c r="IZ33" s="334"/>
      <c r="JA33" s="334"/>
      <c r="JB33" s="334"/>
      <c r="JC33" s="334"/>
      <c r="JD33" s="334"/>
      <c r="JE33" s="334"/>
      <c r="JF33" s="334"/>
      <c r="JG33" s="334"/>
      <c r="JH33" s="334"/>
      <c r="JI33" s="334"/>
      <c r="JJ33" s="334"/>
      <c r="JK33" s="334"/>
      <c r="JL33" s="334"/>
      <c r="JM33" s="334"/>
      <c r="JN33" s="334"/>
      <c r="JO33" s="334"/>
      <c r="JP33" s="334"/>
      <c r="JQ33" s="334"/>
      <c r="JR33" s="334"/>
      <c r="JS33" s="334"/>
      <c r="JT33" s="334"/>
      <c r="JU33" s="334"/>
      <c r="JV33" s="334"/>
      <c r="JW33" s="334"/>
      <c r="JX33" s="334"/>
      <c r="JY33" s="334"/>
      <c r="JZ33" s="334"/>
      <c r="KA33" s="334"/>
      <c r="KB33" s="334"/>
      <c r="KC33" s="334"/>
      <c r="KD33" s="334"/>
      <c r="KE33" s="334"/>
      <c r="KF33" s="334"/>
      <c r="KG33" s="334"/>
      <c r="KH33" s="334"/>
      <c r="KI33" s="334"/>
      <c r="KJ33" s="334"/>
      <c r="KK33" s="334"/>
      <c r="KL33" s="334"/>
      <c r="KM33" s="334"/>
      <c r="KN33" s="334"/>
      <c r="KO33" s="334"/>
      <c r="KP33" s="334"/>
      <c r="KQ33" s="334"/>
      <c r="KR33" s="334"/>
      <c r="KS33" s="334"/>
      <c r="KT33" s="334"/>
      <c r="KU33" s="334"/>
      <c r="KV33" s="334"/>
      <c r="KW33" s="334"/>
      <c r="KX33" s="334"/>
      <c r="KY33" s="334"/>
      <c r="KZ33" s="334"/>
      <c r="LA33" s="334"/>
      <c r="LB33" s="334"/>
      <c r="LC33" s="334"/>
      <c r="LD33" s="334"/>
      <c r="LE33" s="334"/>
      <c r="LF33" s="334"/>
      <c r="LG33" s="334"/>
      <c r="LH33" s="334"/>
      <c r="LI33" s="334"/>
      <c r="LJ33" s="334"/>
      <c r="LK33" s="334"/>
      <c r="LL33" s="334"/>
      <c r="LM33" s="334"/>
      <c r="LN33" s="334"/>
      <c r="LO33" s="334"/>
      <c r="LP33" s="334"/>
      <c r="LQ33" s="334"/>
      <c r="LR33" s="334"/>
      <c r="LS33" s="334"/>
      <c r="LT33" s="334"/>
      <c r="LU33" s="334"/>
      <c r="LV33" s="334"/>
      <c r="LW33" s="334"/>
      <c r="LX33" s="334"/>
      <c r="LY33" s="334"/>
      <c r="LZ33" s="334"/>
      <c r="MA33" s="334"/>
      <c r="MB33" s="334"/>
      <c r="MC33" s="334"/>
      <c r="MD33" s="334"/>
      <c r="ME33" s="334"/>
      <c r="MF33" s="334"/>
      <c r="MG33" s="334"/>
      <c r="MH33" s="334"/>
      <c r="MI33" s="334"/>
      <c r="MJ33" s="334"/>
      <c r="MK33" s="334"/>
      <c r="ML33" s="334"/>
      <c r="MM33" s="334"/>
      <c r="MN33" s="334"/>
      <c r="MO33" s="334"/>
      <c r="MP33" s="334"/>
      <c r="MQ33" s="334"/>
      <c r="MR33" s="334"/>
      <c r="MS33" s="334"/>
      <c r="MT33" s="334"/>
      <c r="MU33" s="334"/>
      <c r="MV33" s="334"/>
      <c r="MW33" s="334"/>
      <c r="MX33" s="334"/>
      <c r="MY33" s="334"/>
      <c r="MZ33" s="334"/>
      <c r="NA33" s="334"/>
      <c r="NB33" s="334"/>
      <c r="NC33" s="334"/>
      <c r="ND33" s="334"/>
      <c r="NE33" s="334"/>
      <c r="NF33" s="334"/>
      <c r="NG33" s="334"/>
      <c r="NH33" s="334"/>
      <c r="NI33" s="334"/>
      <c r="NJ33" s="334"/>
      <c r="NK33" s="334"/>
      <c r="NL33" s="334"/>
      <c r="NM33" s="334"/>
      <c r="NN33" s="334"/>
      <c r="NO33" s="334"/>
      <c r="NP33" s="334"/>
      <c r="NQ33" s="334"/>
      <c r="NR33" s="334"/>
      <c r="NS33" s="334"/>
      <c r="NT33" s="334"/>
      <c r="NU33" s="334"/>
      <c r="NV33" s="334"/>
      <c r="NW33" s="334"/>
      <c r="NX33" s="334"/>
      <c r="NY33" s="334"/>
      <c r="NZ33" s="334"/>
      <c r="OA33" s="334"/>
      <c r="OB33" s="334"/>
      <c r="OC33" s="334"/>
      <c r="OD33" s="334"/>
      <c r="OE33" s="334"/>
      <c r="OF33" s="334"/>
      <c r="OG33" s="334"/>
      <c r="OH33" s="334"/>
      <c r="OI33" s="334"/>
      <c r="OJ33" s="334"/>
      <c r="OK33" s="334"/>
      <c r="OL33" s="334"/>
      <c r="OM33" s="334"/>
      <c r="ON33" s="334"/>
      <c r="OO33" s="334"/>
      <c r="OP33" s="334"/>
      <c r="OQ33" s="334"/>
      <c r="OR33" s="334"/>
      <c r="OS33" s="334"/>
      <c r="OT33" s="334"/>
      <c r="OU33" s="334"/>
      <c r="OV33" s="334"/>
      <c r="OW33" s="334"/>
      <c r="OX33" s="334"/>
      <c r="OY33" s="334"/>
      <c r="OZ33" s="334"/>
      <c r="PA33" s="334"/>
      <c r="PB33" s="334"/>
      <c r="PC33" s="334"/>
      <c r="PD33" s="334"/>
      <c r="PE33" s="334"/>
      <c r="PF33" s="334"/>
      <c r="PG33" s="334"/>
      <c r="PH33" s="334"/>
      <c r="PI33" s="334"/>
      <c r="PJ33" s="334"/>
      <c r="PK33" s="334"/>
      <c r="PL33" s="334"/>
      <c r="PM33" s="334"/>
      <c r="PN33" s="334"/>
      <c r="PO33" s="334"/>
      <c r="PP33" s="334"/>
      <c r="PQ33" s="334"/>
      <c r="PR33" s="334"/>
      <c r="PS33" s="334"/>
      <c r="PT33" s="334"/>
      <c r="PU33" s="334"/>
      <c r="PV33" s="334"/>
      <c r="PW33" s="334"/>
      <c r="PX33" s="334"/>
      <c r="PY33" s="334"/>
      <c r="PZ33" s="334"/>
      <c r="QA33" s="334"/>
      <c r="QB33" s="334"/>
      <c r="QC33" s="334"/>
      <c r="QD33" s="334"/>
      <c r="QE33" s="334"/>
      <c r="QF33" s="334"/>
      <c r="QG33" s="334"/>
      <c r="QH33" s="334"/>
      <c r="QI33" s="334"/>
      <c r="QJ33" s="334"/>
      <c r="QK33" s="334"/>
      <c r="QL33" s="334"/>
      <c r="QM33" s="334"/>
      <c r="QN33" s="334"/>
      <c r="QO33" s="334"/>
      <c r="QP33" s="334"/>
      <c r="QQ33" s="334"/>
      <c r="QR33" s="334"/>
      <c r="QS33" s="334"/>
      <c r="QT33" s="334"/>
      <c r="QU33" s="334"/>
      <c r="QV33" s="334"/>
      <c r="QW33" s="334"/>
      <c r="QX33" s="334"/>
      <c r="QY33" s="334"/>
      <c r="QZ33" s="334"/>
      <c r="RA33" s="334"/>
      <c r="RB33" s="334"/>
      <c r="RC33" s="334"/>
      <c r="RD33" s="334"/>
      <c r="RE33" s="334"/>
      <c r="RF33" s="334"/>
      <c r="RG33" s="334"/>
      <c r="RH33" s="334"/>
      <c r="RI33" s="334"/>
      <c r="RJ33" s="334"/>
      <c r="RK33" s="334"/>
      <c r="RL33" s="334"/>
      <c r="RM33" s="334"/>
      <c r="RN33" s="334"/>
      <c r="RO33" s="334"/>
      <c r="RP33" s="334"/>
      <c r="RQ33" s="334"/>
      <c r="RR33" s="334"/>
      <c r="RS33" s="334"/>
      <c r="RT33" s="334"/>
      <c r="RU33" s="334"/>
      <c r="RV33" s="334"/>
      <c r="RW33" s="334"/>
      <c r="RX33" s="334"/>
      <c r="RY33" s="334"/>
      <c r="RZ33" s="334"/>
      <c r="SA33" s="334"/>
      <c r="SB33" s="334"/>
      <c r="SC33" s="334"/>
      <c r="SD33" s="334"/>
      <c r="SE33" s="334"/>
      <c r="SF33" s="334"/>
      <c r="SG33" s="334"/>
      <c r="SH33" s="334"/>
      <c r="SI33" s="334"/>
      <c r="SJ33" s="334"/>
      <c r="SK33" s="334"/>
      <c r="SL33" s="334"/>
      <c r="SM33" s="334"/>
      <c r="SN33" s="334"/>
      <c r="SO33" s="334"/>
      <c r="SP33" s="334"/>
      <c r="SQ33" s="334"/>
      <c r="SR33" s="334"/>
      <c r="SS33" s="334"/>
      <c r="ST33" s="334"/>
      <c r="SU33" s="334"/>
      <c r="SV33" s="334"/>
      <c r="SW33" s="334"/>
      <c r="SX33" s="334"/>
      <c r="SY33" s="334"/>
      <c r="SZ33" s="334"/>
      <c r="TA33" s="334"/>
      <c r="TB33" s="334"/>
      <c r="TC33" s="334"/>
      <c r="TD33" s="334"/>
      <c r="TE33" s="334"/>
      <c r="TF33" s="334"/>
      <c r="TG33" s="334"/>
      <c r="TH33" s="334"/>
      <c r="TI33" s="334"/>
      <c r="TJ33" s="334"/>
      <c r="TK33" s="334"/>
      <c r="TL33" s="334"/>
      <c r="TM33" s="334"/>
      <c r="TN33" s="334"/>
      <c r="TO33" s="334"/>
      <c r="TP33" s="334"/>
      <c r="TQ33" s="334"/>
      <c r="TR33" s="334"/>
      <c r="TS33" s="334"/>
      <c r="TT33" s="334"/>
      <c r="TU33" s="334"/>
      <c r="TV33" s="334"/>
      <c r="TW33" s="334"/>
      <c r="TX33" s="334"/>
      <c r="TY33" s="334"/>
      <c r="TZ33" s="334"/>
      <c r="UA33" s="334"/>
      <c r="UB33" s="334"/>
      <c r="UC33" s="334"/>
      <c r="UD33" s="334"/>
      <c r="UE33" s="334"/>
      <c r="UF33" s="334"/>
      <c r="UG33" s="334"/>
      <c r="UH33" s="334"/>
      <c r="UI33" s="334"/>
      <c r="UJ33" s="334"/>
      <c r="UK33" s="334"/>
      <c r="UL33" s="334"/>
      <c r="UM33" s="334"/>
      <c r="UN33" s="334"/>
      <c r="UO33" s="334"/>
      <c r="UP33" s="334"/>
      <c r="UQ33" s="334"/>
      <c r="UR33" s="334"/>
      <c r="US33" s="334"/>
      <c r="UT33" s="334"/>
      <c r="UU33" s="334"/>
      <c r="UV33" s="334"/>
      <c r="UW33" s="334"/>
      <c r="UX33" s="334"/>
      <c r="UY33" s="334"/>
      <c r="UZ33" s="334"/>
      <c r="VA33" s="334"/>
      <c r="VB33" s="334"/>
      <c r="VC33" s="334"/>
      <c r="VD33" s="334"/>
      <c r="VE33" s="334"/>
      <c r="VF33" s="334"/>
      <c r="VG33" s="334"/>
      <c r="VH33" s="334"/>
      <c r="VI33" s="334"/>
      <c r="VJ33" s="334"/>
      <c r="VK33" s="334"/>
      <c r="VL33" s="334"/>
      <c r="VM33" s="334"/>
      <c r="VN33" s="334"/>
      <c r="VO33" s="334"/>
      <c r="VP33" s="334"/>
      <c r="VQ33" s="334"/>
      <c r="VR33" s="334"/>
      <c r="VS33" s="334"/>
      <c r="VT33" s="334"/>
      <c r="VU33" s="334"/>
      <c r="VV33" s="334"/>
      <c r="VW33" s="334"/>
      <c r="VX33" s="334"/>
      <c r="VY33" s="334"/>
      <c r="VZ33" s="334"/>
      <c r="WA33" s="334"/>
      <c r="WB33" s="334"/>
      <c r="WC33" s="334"/>
      <c r="WD33" s="334"/>
      <c r="WE33" s="334"/>
      <c r="WF33" s="334"/>
      <c r="WG33" s="334"/>
      <c r="WH33" s="334"/>
      <c r="WI33" s="334"/>
      <c r="WJ33" s="334"/>
      <c r="WK33" s="334"/>
      <c r="WL33" s="334"/>
      <c r="WM33" s="334"/>
      <c r="WN33" s="334"/>
      <c r="WO33" s="334"/>
      <c r="WP33" s="334"/>
      <c r="WQ33" s="334"/>
      <c r="WR33" s="334"/>
      <c r="WS33" s="334"/>
      <c r="WT33" s="334"/>
      <c r="WU33" s="334"/>
      <c r="WV33" s="334"/>
      <c r="WW33" s="334"/>
      <c r="WX33" s="334"/>
      <c r="WY33" s="334"/>
      <c r="WZ33" s="334"/>
      <c r="XA33" s="334"/>
      <c r="XB33" s="334"/>
      <c r="XC33" s="334"/>
      <c r="XD33" s="334"/>
      <c r="XE33" s="334"/>
      <c r="XF33" s="334"/>
      <c r="XG33" s="334"/>
      <c r="XH33" s="334"/>
      <c r="XI33" s="334"/>
      <c r="XJ33" s="334"/>
      <c r="XK33" s="334"/>
      <c r="XL33" s="334"/>
      <c r="XM33" s="334"/>
      <c r="XN33" s="334"/>
      <c r="XO33" s="334"/>
      <c r="XP33" s="334"/>
      <c r="XQ33" s="334"/>
      <c r="XR33" s="334"/>
      <c r="XS33" s="334"/>
      <c r="XT33" s="334"/>
      <c r="XU33" s="334"/>
      <c r="XV33" s="334"/>
      <c r="XW33" s="334"/>
      <c r="XX33" s="334"/>
      <c r="XY33" s="334"/>
      <c r="XZ33" s="334"/>
      <c r="YA33" s="334"/>
      <c r="YB33" s="334"/>
      <c r="YC33" s="334"/>
      <c r="YD33" s="334"/>
      <c r="YE33" s="334"/>
      <c r="YF33" s="334"/>
      <c r="YG33" s="334"/>
      <c r="YH33" s="334"/>
      <c r="YI33" s="334"/>
      <c r="YJ33" s="334"/>
      <c r="YK33" s="334"/>
      <c r="YL33" s="334"/>
      <c r="YM33" s="334"/>
      <c r="YN33" s="334"/>
      <c r="YO33" s="334"/>
      <c r="YP33" s="334"/>
      <c r="YQ33" s="334"/>
      <c r="YR33" s="334"/>
      <c r="YS33" s="334"/>
      <c r="YT33" s="334"/>
      <c r="YU33" s="334"/>
      <c r="YV33" s="334"/>
      <c r="YW33" s="334"/>
      <c r="YX33" s="334"/>
      <c r="YY33" s="334"/>
      <c r="YZ33" s="334"/>
      <c r="ZA33" s="334"/>
      <c r="ZB33" s="334"/>
      <c r="ZC33" s="334"/>
      <c r="ZD33" s="334"/>
      <c r="ZE33" s="334"/>
      <c r="ZF33" s="334"/>
      <c r="ZG33" s="334"/>
      <c r="ZH33" s="334"/>
      <c r="ZI33" s="334"/>
      <c r="ZJ33" s="334"/>
      <c r="ZK33" s="334"/>
      <c r="ZL33" s="334"/>
      <c r="ZM33" s="334"/>
      <c r="ZN33" s="334"/>
      <c r="ZO33" s="334"/>
      <c r="ZP33" s="334"/>
      <c r="ZQ33" s="334"/>
      <c r="ZR33" s="334"/>
      <c r="ZS33" s="334"/>
      <c r="ZT33" s="334"/>
      <c r="ZU33" s="334"/>
      <c r="ZV33" s="334"/>
      <c r="ZW33" s="334"/>
      <c r="ZX33" s="334"/>
      <c r="ZY33" s="334"/>
      <c r="ZZ33" s="334"/>
      <c r="AAA33" s="334"/>
      <c r="AAB33" s="334"/>
      <c r="AAC33" s="334"/>
      <c r="AAD33" s="334"/>
      <c r="AAE33" s="334"/>
      <c r="AAF33" s="334"/>
      <c r="AAG33" s="334"/>
      <c r="AAH33" s="334"/>
      <c r="AAI33" s="334"/>
      <c r="AAJ33" s="334"/>
      <c r="AAK33" s="334"/>
      <c r="AAL33" s="334"/>
      <c r="AAM33" s="334"/>
      <c r="AAN33" s="334"/>
      <c r="AAO33" s="334"/>
      <c r="AAP33" s="334"/>
      <c r="AAQ33" s="334"/>
      <c r="AAR33" s="334"/>
      <c r="AAS33" s="334"/>
      <c r="AAT33" s="334"/>
      <c r="AAU33" s="334"/>
      <c r="AAV33" s="334"/>
      <c r="AAW33" s="334"/>
      <c r="AAX33" s="334"/>
      <c r="AAY33" s="334"/>
      <c r="AAZ33" s="334"/>
      <c r="ABA33" s="334"/>
      <c r="ABB33" s="334"/>
      <c r="ABC33" s="334"/>
      <c r="ABD33" s="334"/>
      <c r="ABE33" s="334"/>
      <c r="ABF33" s="334"/>
      <c r="ABG33" s="334"/>
      <c r="ABH33" s="334"/>
      <c r="ABI33" s="334"/>
      <c r="ABJ33" s="334"/>
      <c r="ABK33" s="334"/>
      <c r="ABL33" s="334"/>
      <c r="ABM33" s="334"/>
      <c r="ABN33" s="334"/>
      <c r="ABO33" s="334"/>
      <c r="ABP33" s="334"/>
      <c r="ABQ33" s="334"/>
      <c r="ABR33" s="334"/>
      <c r="ABS33" s="334"/>
      <c r="ABT33" s="334"/>
      <c r="ABU33" s="334"/>
      <c r="ABV33" s="334"/>
      <c r="ABW33" s="334"/>
      <c r="ABX33" s="334"/>
      <c r="ABY33" s="334"/>
      <c r="ABZ33" s="334"/>
      <c r="ACA33" s="334"/>
      <c r="ACB33" s="334"/>
      <c r="ACC33" s="334"/>
      <c r="ACD33" s="334"/>
      <c r="ACE33" s="334"/>
      <c r="ACF33" s="334"/>
      <c r="ACG33" s="334"/>
      <c r="ACH33" s="334"/>
      <c r="ACI33" s="334"/>
      <c r="ACJ33" s="334"/>
      <c r="ACK33" s="334"/>
      <c r="ACL33" s="334"/>
      <c r="ACM33" s="334"/>
      <c r="ACN33" s="334"/>
      <c r="ACO33" s="334"/>
      <c r="ACP33" s="334"/>
      <c r="ACQ33" s="334"/>
      <c r="ACR33" s="334"/>
      <c r="ACS33" s="334"/>
      <c r="ACT33" s="334"/>
      <c r="ACU33" s="334"/>
      <c r="ACV33" s="334"/>
      <c r="ACW33" s="334"/>
      <c r="ACX33" s="334"/>
      <c r="ACY33" s="334"/>
      <c r="ACZ33" s="334"/>
      <c r="ADA33" s="334"/>
      <c r="ADB33" s="334"/>
      <c r="ADC33" s="334"/>
      <c r="ADD33" s="334"/>
      <c r="ADE33" s="334"/>
      <c r="ADF33" s="334"/>
      <c r="ADG33" s="334"/>
      <c r="ADH33" s="334"/>
      <c r="ADI33" s="334"/>
      <c r="ADJ33" s="334"/>
      <c r="ADK33" s="334"/>
      <c r="ADL33" s="334"/>
      <c r="ADM33" s="334"/>
      <c r="ADN33" s="334"/>
      <c r="ADO33" s="334"/>
      <c r="ADP33" s="334"/>
      <c r="ADQ33" s="334"/>
      <c r="ADR33" s="334"/>
      <c r="ADS33" s="334"/>
      <c r="ADT33" s="334"/>
      <c r="ADU33" s="334"/>
      <c r="ADV33" s="334"/>
      <c r="ADW33" s="334"/>
      <c r="ADX33" s="334"/>
      <c r="ADY33" s="334"/>
      <c r="ADZ33" s="334"/>
      <c r="AEA33" s="334"/>
      <c r="AEB33" s="334"/>
      <c r="AEC33" s="334"/>
      <c r="AED33" s="334"/>
      <c r="AEE33" s="334"/>
      <c r="AEF33" s="334"/>
      <c r="AEG33" s="334"/>
      <c r="AEH33" s="334"/>
      <c r="AEI33" s="334"/>
      <c r="AEJ33" s="334"/>
      <c r="AEK33" s="334"/>
      <c r="AEL33" s="334"/>
      <c r="AEM33" s="334"/>
      <c r="AEN33" s="334"/>
      <c r="AEO33" s="334"/>
      <c r="AEP33" s="334"/>
      <c r="AEQ33" s="334"/>
      <c r="AER33" s="334"/>
      <c r="AES33" s="334"/>
      <c r="AET33" s="334"/>
      <c r="AEU33" s="334"/>
      <c r="AEV33" s="334"/>
      <c r="AEW33" s="334"/>
      <c r="AEX33" s="334"/>
      <c r="AEY33" s="334"/>
      <c r="AEZ33" s="334"/>
      <c r="AFA33" s="334"/>
      <c r="AFB33" s="334"/>
      <c r="AFC33" s="334"/>
      <c r="AFD33" s="334"/>
      <c r="AFE33" s="334"/>
      <c r="AFF33" s="334"/>
      <c r="AFG33" s="334"/>
      <c r="AFH33" s="334"/>
      <c r="AFI33" s="334"/>
      <c r="AFJ33" s="334"/>
      <c r="AFK33" s="334"/>
      <c r="AFL33" s="334"/>
      <c r="AFM33" s="334"/>
      <c r="AFN33" s="334"/>
      <c r="AFO33" s="334"/>
      <c r="AFP33" s="334"/>
      <c r="AFQ33" s="334"/>
      <c r="AFR33" s="334"/>
      <c r="AFS33" s="334"/>
      <c r="AFT33" s="334"/>
      <c r="AFU33" s="334"/>
      <c r="AFV33" s="334"/>
      <c r="AFW33" s="334"/>
      <c r="AFX33" s="334"/>
      <c r="AFY33" s="334"/>
      <c r="AFZ33" s="334"/>
      <c r="AGA33" s="334"/>
      <c r="AGB33" s="334"/>
      <c r="AGC33" s="334"/>
      <c r="AGD33" s="334"/>
      <c r="AGE33" s="334"/>
      <c r="AGF33" s="334"/>
      <c r="AGG33" s="334"/>
      <c r="AGH33" s="334"/>
      <c r="AGI33" s="334"/>
      <c r="AGJ33" s="334"/>
      <c r="AGK33" s="334"/>
      <c r="AGL33" s="334"/>
      <c r="AGM33" s="334"/>
      <c r="AGN33" s="334"/>
      <c r="AGO33" s="334"/>
      <c r="AGP33" s="334"/>
      <c r="AGQ33" s="334"/>
      <c r="AGR33" s="334"/>
      <c r="AGS33" s="334"/>
      <c r="AGT33" s="334"/>
      <c r="AGU33" s="334"/>
      <c r="AGV33" s="334"/>
      <c r="AGW33" s="334"/>
      <c r="AGX33" s="334"/>
      <c r="AGY33" s="334"/>
      <c r="AGZ33" s="334"/>
      <c r="AHA33" s="334"/>
      <c r="AHB33" s="334"/>
      <c r="AHC33" s="334"/>
      <c r="AHD33" s="334"/>
      <c r="AHE33" s="334"/>
      <c r="AHF33" s="334"/>
      <c r="AHG33" s="334"/>
      <c r="AHH33" s="334"/>
      <c r="AHI33" s="334"/>
      <c r="AHJ33" s="334"/>
      <c r="AHK33" s="334"/>
      <c r="AHL33" s="334"/>
      <c r="AHM33" s="334"/>
      <c r="AHN33" s="334"/>
      <c r="AHO33" s="334"/>
      <c r="AHP33" s="334"/>
      <c r="AHQ33" s="334"/>
      <c r="AHR33" s="334"/>
      <c r="AHS33" s="334"/>
      <c r="AHT33" s="334"/>
      <c r="AHU33" s="334"/>
      <c r="AHV33" s="334"/>
      <c r="AHW33" s="334"/>
      <c r="AHX33" s="334"/>
      <c r="AHY33" s="334"/>
      <c r="AHZ33" s="334"/>
      <c r="AIA33" s="334"/>
      <c r="AIB33" s="334"/>
      <c r="AIC33" s="334"/>
      <c r="AID33" s="334"/>
      <c r="AIE33" s="334"/>
      <c r="AIF33" s="334"/>
      <c r="AIG33" s="334"/>
      <c r="AIH33" s="334"/>
      <c r="AII33" s="334"/>
      <c r="AIJ33" s="334"/>
      <c r="AIK33" s="334"/>
      <c r="AIL33" s="334"/>
      <c r="AIM33" s="334"/>
      <c r="AIN33" s="334"/>
      <c r="AIO33" s="334"/>
      <c r="AIP33" s="334"/>
      <c r="AIQ33" s="334"/>
      <c r="AIR33" s="334"/>
      <c r="AIS33" s="334"/>
      <c r="AIT33" s="334"/>
      <c r="AIU33" s="334"/>
      <c r="AIV33" s="334"/>
      <c r="AIW33" s="334"/>
      <c r="AIX33" s="334"/>
      <c r="AIY33" s="334"/>
      <c r="AIZ33" s="334"/>
      <c r="AJA33" s="334"/>
      <c r="AJB33" s="334"/>
      <c r="AJC33" s="334"/>
      <c r="AJD33" s="334"/>
      <c r="AJE33" s="334"/>
      <c r="AJF33" s="334"/>
      <c r="AJG33" s="334"/>
      <c r="AJH33" s="334"/>
      <c r="AJI33" s="334"/>
      <c r="AJJ33" s="334"/>
      <c r="AJK33" s="334"/>
      <c r="AJL33" s="334"/>
      <c r="AJM33" s="334"/>
      <c r="AJN33" s="334"/>
      <c r="AJO33" s="334"/>
      <c r="AJP33" s="334"/>
      <c r="AJQ33" s="334"/>
      <c r="AJR33" s="334"/>
      <c r="AJS33" s="334"/>
      <c r="AJT33" s="334"/>
      <c r="AJU33" s="334"/>
      <c r="AJV33" s="334"/>
      <c r="AJW33" s="334"/>
      <c r="AJX33" s="334"/>
      <c r="AJY33" s="334"/>
      <c r="AJZ33" s="334"/>
      <c r="AKA33" s="334"/>
      <c r="AKB33" s="334"/>
      <c r="AKC33" s="334"/>
      <c r="AKD33" s="334"/>
      <c r="AKE33" s="334"/>
      <c r="AKF33" s="334"/>
      <c r="AKG33" s="334"/>
      <c r="AKH33" s="334"/>
      <c r="AKI33" s="334"/>
      <c r="AKJ33" s="334"/>
      <c r="AKK33" s="334"/>
      <c r="AKL33" s="334"/>
      <c r="AKM33" s="334"/>
      <c r="AKN33" s="334"/>
      <c r="AKO33" s="334"/>
      <c r="AKP33" s="334"/>
      <c r="AKQ33" s="334"/>
      <c r="AKR33" s="334"/>
      <c r="AKS33" s="334"/>
      <c r="AKT33" s="334"/>
      <c r="AKU33" s="334"/>
      <c r="AKV33" s="334"/>
      <c r="AKW33" s="334"/>
      <c r="AKX33" s="334"/>
      <c r="AKY33" s="334"/>
      <c r="AKZ33" s="334"/>
      <c r="ALA33" s="334"/>
      <c r="ALB33" s="334"/>
      <c r="ALC33" s="334"/>
      <c r="ALD33" s="334"/>
      <c r="ALE33" s="334"/>
      <c r="ALF33" s="334"/>
      <c r="ALG33" s="334"/>
      <c r="ALH33" s="334"/>
      <c r="ALI33" s="334"/>
      <c r="ALJ33" s="334"/>
      <c r="ALK33" s="334"/>
      <c r="ALL33" s="334"/>
      <c r="ALM33" s="334"/>
      <c r="ALN33" s="334"/>
      <c r="ALO33" s="334"/>
      <c r="ALP33" s="334"/>
      <c r="ALQ33" s="334"/>
      <c r="ALR33" s="334"/>
      <c r="ALS33" s="334"/>
      <c r="ALT33" s="334"/>
      <c r="ALU33" s="334"/>
      <c r="ALV33" s="334"/>
      <c r="ALW33" s="334"/>
      <c r="ALX33" s="334"/>
      <c r="ALY33" s="334"/>
      <c r="ALZ33" s="334"/>
      <c r="AMA33" s="334"/>
      <c r="AMB33" s="334"/>
      <c r="AMC33" s="334"/>
      <c r="AMD33" s="334"/>
      <c r="AME33" s="334"/>
      <c r="AMF33" s="334"/>
      <c r="AMG33" s="334"/>
      <c r="AMH33" s="334"/>
      <c r="AMI33" s="334"/>
      <c r="AMJ33" s="334"/>
      <c r="AMK33" s="334"/>
      <c r="AML33" s="334"/>
      <c r="AMM33" s="334"/>
      <c r="AMN33" s="334"/>
      <c r="AMO33" s="334"/>
      <c r="AMP33" s="334"/>
      <c r="AMQ33" s="334"/>
      <c r="AMR33" s="334"/>
      <c r="AMS33" s="334"/>
      <c r="AMT33" s="334"/>
      <c r="AMU33" s="334"/>
      <c r="AMV33" s="334"/>
      <c r="AMW33" s="334"/>
      <c r="AMX33" s="334"/>
      <c r="AMY33" s="334"/>
      <c r="AMZ33" s="334"/>
    </row>
    <row r="34" spans="1:1040" s="333" customFormat="1" ht="13.2" x14ac:dyDescent="0.25">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5"/>
      <c r="AA34" s="335"/>
      <c r="AB34" s="335"/>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c r="CO34" s="334"/>
      <c r="CP34" s="334"/>
      <c r="CQ34" s="334"/>
      <c r="CR34" s="334"/>
      <c r="CS34" s="334"/>
      <c r="CT34" s="334"/>
      <c r="CU34" s="334"/>
      <c r="CV34" s="334"/>
      <c r="CW34" s="334"/>
      <c r="CX34" s="334"/>
      <c r="CY34" s="334"/>
      <c r="CZ34" s="334"/>
      <c r="DA34" s="334"/>
      <c r="DB34" s="334"/>
      <c r="DC34" s="334"/>
      <c r="DD34" s="334"/>
      <c r="DE34" s="334"/>
      <c r="DF34" s="334"/>
      <c r="DG34" s="334"/>
      <c r="DH34" s="334"/>
      <c r="DI34" s="334"/>
      <c r="DJ34" s="334"/>
      <c r="DK34" s="334"/>
      <c r="DL34" s="334"/>
      <c r="DM34" s="334"/>
      <c r="DN34" s="334"/>
      <c r="DO34" s="334"/>
      <c r="DP34" s="334"/>
      <c r="DQ34" s="334"/>
      <c r="DR34" s="334"/>
      <c r="DS34" s="334"/>
      <c r="DT34" s="334"/>
      <c r="DU34" s="334"/>
      <c r="DV34" s="334"/>
      <c r="DW34" s="334"/>
      <c r="DX34" s="334"/>
      <c r="DY34" s="334"/>
      <c r="DZ34" s="334"/>
      <c r="EA34" s="334"/>
      <c r="EB34" s="334"/>
      <c r="EC34" s="334"/>
      <c r="ED34" s="334"/>
      <c r="EE34" s="334"/>
      <c r="EF34" s="334"/>
      <c r="EG34" s="334"/>
      <c r="EH34" s="334"/>
      <c r="EI34" s="334"/>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4"/>
      <c r="FU34" s="334"/>
      <c r="FV34" s="334"/>
      <c r="FW34" s="334"/>
      <c r="FX34" s="334"/>
      <c r="FY34" s="334"/>
      <c r="FZ34" s="334"/>
      <c r="GA34" s="334"/>
      <c r="GB34" s="334"/>
      <c r="GC34" s="334"/>
      <c r="GD34" s="334"/>
      <c r="GE34" s="334"/>
      <c r="GF34" s="334"/>
      <c r="GG34" s="334"/>
      <c r="GH34" s="334"/>
      <c r="GI34" s="334"/>
      <c r="GJ34" s="334"/>
      <c r="GK34" s="334"/>
      <c r="GL34" s="334"/>
      <c r="GM34" s="334"/>
      <c r="GN34" s="334"/>
      <c r="GO34" s="334"/>
      <c r="GP34" s="334"/>
      <c r="GQ34" s="334"/>
      <c r="GR34" s="334"/>
      <c r="GS34" s="334"/>
      <c r="GT34" s="334"/>
      <c r="GU34" s="334"/>
      <c r="GV34" s="334"/>
      <c r="GW34" s="334"/>
      <c r="GX34" s="334"/>
      <c r="GY34" s="334"/>
      <c r="GZ34" s="334"/>
      <c r="HA34" s="334"/>
      <c r="HB34" s="334"/>
      <c r="HC34" s="334"/>
      <c r="HD34" s="334"/>
      <c r="HE34" s="334"/>
      <c r="HF34" s="334"/>
      <c r="HG34" s="334"/>
      <c r="HH34" s="334"/>
      <c r="HI34" s="334"/>
      <c r="HJ34" s="334"/>
      <c r="HK34" s="334"/>
      <c r="HL34" s="334"/>
      <c r="HM34" s="334"/>
      <c r="HN34" s="334"/>
      <c r="HO34" s="334"/>
      <c r="HP34" s="334"/>
      <c r="HQ34" s="334"/>
      <c r="HR34" s="334"/>
      <c r="HS34" s="334"/>
      <c r="HT34" s="334"/>
      <c r="HU34" s="334"/>
      <c r="HV34" s="334"/>
      <c r="HW34" s="334"/>
      <c r="HX34" s="334"/>
      <c r="HY34" s="334"/>
      <c r="HZ34" s="334"/>
      <c r="IA34" s="334"/>
      <c r="IB34" s="334"/>
      <c r="IC34" s="334"/>
      <c r="ID34" s="334"/>
      <c r="IE34" s="334"/>
      <c r="IF34" s="334"/>
      <c r="IG34" s="334"/>
      <c r="IH34" s="334"/>
      <c r="II34" s="334"/>
      <c r="IJ34" s="334"/>
      <c r="IK34" s="334"/>
      <c r="IL34" s="334"/>
      <c r="IM34" s="334"/>
      <c r="IN34" s="334"/>
      <c r="IO34" s="334"/>
      <c r="IP34" s="334"/>
      <c r="IQ34" s="334"/>
      <c r="IR34" s="334"/>
      <c r="IS34" s="334"/>
      <c r="IT34" s="334"/>
      <c r="IU34" s="334"/>
      <c r="IV34" s="334"/>
      <c r="IW34" s="334"/>
      <c r="IX34" s="334"/>
      <c r="IY34" s="334"/>
      <c r="IZ34" s="334"/>
      <c r="JA34" s="334"/>
      <c r="JB34" s="334"/>
      <c r="JC34" s="334"/>
      <c r="JD34" s="334"/>
      <c r="JE34" s="334"/>
      <c r="JF34" s="334"/>
      <c r="JG34" s="334"/>
      <c r="JH34" s="334"/>
      <c r="JI34" s="334"/>
      <c r="JJ34" s="334"/>
      <c r="JK34" s="334"/>
      <c r="JL34" s="334"/>
      <c r="JM34" s="334"/>
      <c r="JN34" s="334"/>
      <c r="JO34" s="334"/>
      <c r="JP34" s="334"/>
      <c r="JQ34" s="334"/>
      <c r="JR34" s="334"/>
      <c r="JS34" s="334"/>
      <c r="JT34" s="334"/>
      <c r="JU34" s="334"/>
      <c r="JV34" s="334"/>
      <c r="JW34" s="334"/>
      <c r="JX34" s="334"/>
      <c r="JY34" s="334"/>
      <c r="JZ34" s="334"/>
      <c r="KA34" s="334"/>
      <c r="KB34" s="334"/>
      <c r="KC34" s="334"/>
      <c r="KD34" s="334"/>
      <c r="KE34" s="334"/>
      <c r="KF34" s="334"/>
      <c r="KG34" s="334"/>
      <c r="KH34" s="334"/>
      <c r="KI34" s="334"/>
      <c r="KJ34" s="334"/>
      <c r="KK34" s="334"/>
      <c r="KL34" s="334"/>
      <c r="KM34" s="334"/>
      <c r="KN34" s="334"/>
      <c r="KO34" s="334"/>
      <c r="KP34" s="334"/>
      <c r="KQ34" s="334"/>
      <c r="KR34" s="334"/>
      <c r="KS34" s="334"/>
      <c r="KT34" s="334"/>
      <c r="KU34" s="334"/>
      <c r="KV34" s="334"/>
      <c r="KW34" s="334"/>
      <c r="KX34" s="334"/>
      <c r="KY34" s="334"/>
      <c r="KZ34" s="334"/>
      <c r="LA34" s="334"/>
      <c r="LB34" s="334"/>
      <c r="LC34" s="334"/>
      <c r="LD34" s="334"/>
      <c r="LE34" s="334"/>
      <c r="LF34" s="334"/>
      <c r="LG34" s="334"/>
      <c r="LH34" s="334"/>
      <c r="LI34" s="334"/>
      <c r="LJ34" s="334"/>
      <c r="LK34" s="334"/>
      <c r="LL34" s="334"/>
      <c r="LM34" s="334"/>
      <c r="LN34" s="334"/>
      <c r="LO34" s="334"/>
      <c r="LP34" s="334"/>
      <c r="LQ34" s="334"/>
      <c r="LR34" s="334"/>
      <c r="LS34" s="334"/>
      <c r="LT34" s="334"/>
      <c r="LU34" s="334"/>
      <c r="LV34" s="334"/>
      <c r="LW34" s="334"/>
      <c r="LX34" s="334"/>
      <c r="LY34" s="334"/>
      <c r="LZ34" s="334"/>
      <c r="MA34" s="334"/>
      <c r="MB34" s="334"/>
      <c r="MC34" s="334"/>
      <c r="MD34" s="334"/>
      <c r="ME34" s="334"/>
      <c r="MF34" s="334"/>
      <c r="MG34" s="334"/>
      <c r="MH34" s="334"/>
      <c r="MI34" s="334"/>
      <c r="MJ34" s="334"/>
      <c r="MK34" s="334"/>
      <c r="ML34" s="334"/>
      <c r="MM34" s="334"/>
      <c r="MN34" s="334"/>
      <c r="MO34" s="334"/>
      <c r="MP34" s="334"/>
      <c r="MQ34" s="334"/>
      <c r="MR34" s="334"/>
      <c r="MS34" s="334"/>
      <c r="MT34" s="334"/>
      <c r="MU34" s="334"/>
      <c r="MV34" s="334"/>
      <c r="MW34" s="334"/>
      <c r="MX34" s="334"/>
      <c r="MY34" s="334"/>
      <c r="MZ34" s="334"/>
      <c r="NA34" s="334"/>
      <c r="NB34" s="334"/>
      <c r="NC34" s="334"/>
      <c r="ND34" s="334"/>
      <c r="NE34" s="334"/>
      <c r="NF34" s="334"/>
      <c r="NG34" s="334"/>
      <c r="NH34" s="334"/>
      <c r="NI34" s="334"/>
      <c r="NJ34" s="334"/>
      <c r="NK34" s="334"/>
      <c r="NL34" s="334"/>
      <c r="NM34" s="334"/>
      <c r="NN34" s="334"/>
      <c r="NO34" s="334"/>
      <c r="NP34" s="334"/>
      <c r="NQ34" s="334"/>
      <c r="NR34" s="334"/>
      <c r="NS34" s="334"/>
      <c r="NT34" s="334"/>
      <c r="NU34" s="334"/>
      <c r="NV34" s="334"/>
      <c r="NW34" s="334"/>
      <c r="NX34" s="334"/>
      <c r="NY34" s="334"/>
      <c r="NZ34" s="334"/>
      <c r="OA34" s="334"/>
      <c r="OB34" s="334"/>
      <c r="OC34" s="334"/>
      <c r="OD34" s="334"/>
      <c r="OE34" s="334"/>
      <c r="OF34" s="334"/>
      <c r="OG34" s="334"/>
      <c r="OH34" s="334"/>
      <c r="OI34" s="334"/>
      <c r="OJ34" s="334"/>
      <c r="OK34" s="334"/>
      <c r="OL34" s="334"/>
      <c r="OM34" s="334"/>
      <c r="ON34" s="334"/>
      <c r="OO34" s="334"/>
      <c r="OP34" s="334"/>
      <c r="OQ34" s="334"/>
      <c r="OR34" s="334"/>
      <c r="OS34" s="334"/>
      <c r="OT34" s="334"/>
      <c r="OU34" s="334"/>
      <c r="OV34" s="334"/>
      <c r="OW34" s="334"/>
      <c r="OX34" s="334"/>
      <c r="OY34" s="334"/>
      <c r="OZ34" s="334"/>
      <c r="PA34" s="334"/>
      <c r="PB34" s="334"/>
      <c r="PC34" s="334"/>
      <c r="PD34" s="334"/>
      <c r="PE34" s="334"/>
      <c r="PF34" s="334"/>
      <c r="PG34" s="334"/>
      <c r="PH34" s="334"/>
      <c r="PI34" s="334"/>
      <c r="PJ34" s="334"/>
      <c r="PK34" s="334"/>
      <c r="PL34" s="334"/>
      <c r="PM34" s="334"/>
      <c r="PN34" s="334"/>
      <c r="PO34" s="334"/>
      <c r="PP34" s="334"/>
      <c r="PQ34" s="334"/>
      <c r="PR34" s="334"/>
      <c r="PS34" s="334"/>
      <c r="PT34" s="334"/>
      <c r="PU34" s="334"/>
      <c r="PV34" s="334"/>
      <c r="PW34" s="334"/>
      <c r="PX34" s="334"/>
      <c r="PY34" s="334"/>
      <c r="PZ34" s="334"/>
      <c r="QA34" s="334"/>
      <c r="QB34" s="334"/>
      <c r="QC34" s="334"/>
      <c r="QD34" s="334"/>
      <c r="QE34" s="334"/>
      <c r="QF34" s="334"/>
      <c r="QG34" s="334"/>
      <c r="QH34" s="334"/>
      <c r="QI34" s="334"/>
      <c r="QJ34" s="334"/>
      <c r="QK34" s="334"/>
      <c r="QL34" s="334"/>
      <c r="QM34" s="334"/>
      <c r="QN34" s="334"/>
      <c r="QO34" s="334"/>
      <c r="QP34" s="334"/>
      <c r="QQ34" s="334"/>
      <c r="QR34" s="334"/>
      <c r="QS34" s="334"/>
      <c r="QT34" s="334"/>
      <c r="QU34" s="334"/>
      <c r="QV34" s="334"/>
      <c r="QW34" s="334"/>
      <c r="QX34" s="334"/>
      <c r="QY34" s="334"/>
      <c r="QZ34" s="334"/>
      <c r="RA34" s="334"/>
      <c r="RB34" s="334"/>
      <c r="RC34" s="334"/>
      <c r="RD34" s="334"/>
      <c r="RE34" s="334"/>
      <c r="RF34" s="334"/>
      <c r="RG34" s="334"/>
      <c r="RH34" s="334"/>
      <c r="RI34" s="334"/>
      <c r="RJ34" s="334"/>
      <c r="RK34" s="334"/>
      <c r="RL34" s="334"/>
      <c r="RM34" s="334"/>
      <c r="RN34" s="334"/>
      <c r="RO34" s="334"/>
      <c r="RP34" s="334"/>
      <c r="RQ34" s="334"/>
      <c r="RR34" s="334"/>
      <c r="RS34" s="334"/>
      <c r="RT34" s="334"/>
      <c r="RU34" s="334"/>
      <c r="RV34" s="334"/>
      <c r="RW34" s="334"/>
      <c r="RX34" s="334"/>
      <c r="RY34" s="334"/>
      <c r="RZ34" s="334"/>
      <c r="SA34" s="334"/>
      <c r="SB34" s="334"/>
      <c r="SC34" s="334"/>
      <c r="SD34" s="334"/>
      <c r="SE34" s="334"/>
      <c r="SF34" s="334"/>
      <c r="SG34" s="334"/>
      <c r="SH34" s="334"/>
      <c r="SI34" s="334"/>
      <c r="SJ34" s="334"/>
      <c r="SK34" s="334"/>
      <c r="SL34" s="334"/>
      <c r="SM34" s="334"/>
      <c r="SN34" s="334"/>
      <c r="SO34" s="334"/>
      <c r="SP34" s="334"/>
      <c r="SQ34" s="334"/>
      <c r="SR34" s="334"/>
      <c r="SS34" s="334"/>
      <c r="ST34" s="334"/>
      <c r="SU34" s="334"/>
      <c r="SV34" s="334"/>
      <c r="SW34" s="334"/>
      <c r="SX34" s="334"/>
      <c r="SY34" s="334"/>
      <c r="SZ34" s="334"/>
      <c r="TA34" s="334"/>
      <c r="TB34" s="334"/>
      <c r="TC34" s="334"/>
      <c r="TD34" s="334"/>
      <c r="TE34" s="334"/>
      <c r="TF34" s="334"/>
      <c r="TG34" s="334"/>
      <c r="TH34" s="334"/>
      <c r="TI34" s="334"/>
      <c r="TJ34" s="334"/>
      <c r="TK34" s="334"/>
      <c r="TL34" s="334"/>
      <c r="TM34" s="334"/>
      <c r="TN34" s="334"/>
      <c r="TO34" s="334"/>
      <c r="TP34" s="334"/>
      <c r="TQ34" s="334"/>
      <c r="TR34" s="334"/>
      <c r="TS34" s="334"/>
      <c r="TT34" s="334"/>
      <c r="TU34" s="334"/>
      <c r="TV34" s="334"/>
      <c r="TW34" s="334"/>
      <c r="TX34" s="334"/>
      <c r="TY34" s="334"/>
      <c r="TZ34" s="334"/>
      <c r="UA34" s="334"/>
      <c r="UB34" s="334"/>
      <c r="UC34" s="334"/>
      <c r="UD34" s="334"/>
      <c r="UE34" s="334"/>
      <c r="UF34" s="334"/>
      <c r="UG34" s="334"/>
      <c r="UH34" s="334"/>
      <c r="UI34" s="334"/>
      <c r="UJ34" s="334"/>
      <c r="UK34" s="334"/>
      <c r="UL34" s="334"/>
      <c r="UM34" s="334"/>
      <c r="UN34" s="334"/>
      <c r="UO34" s="334"/>
      <c r="UP34" s="334"/>
      <c r="UQ34" s="334"/>
      <c r="UR34" s="334"/>
      <c r="US34" s="334"/>
      <c r="UT34" s="334"/>
      <c r="UU34" s="334"/>
      <c r="UV34" s="334"/>
      <c r="UW34" s="334"/>
      <c r="UX34" s="334"/>
      <c r="UY34" s="334"/>
      <c r="UZ34" s="334"/>
      <c r="VA34" s="334"/>
      <c r="VB34" s="334"/>
      <c r="VC34" s="334"/>
      <c r="VD34" s="334"/>
      <c r="VE34" s="334"/>
      <c r="VF34" s="334"/>
      <c r="VG34" s="334"/>
      <c r="VH34" s="334"/>
      <c r="VI34" s="334"/>
      <c r="VJ34" s="334"/>
      <c r="VK34" s="334"/>
      <c r="VL34" s="334"/>
      <c r="VM34" s="334"/>
      <c r="VN34" s="334"/>
      <c r="VO34" s="334"/>
      <c r="VP34" s="334"/>
      <c r="VQ34" s="334"/>
      <c r="VR34" s="334"/>
      <c r="VS34" s="334"/>
      <c r="VT34" s="334"/>
      <c r="VU34" s="334"/>
      <c r="VV34" s="334"/>
      <c r="VW34" s="334"/>
      <c r="VX34" s="334"/>
      <c r="VY34" s="334"/>
      <c r="VZ34" s="334"/>
      <c r="WA34" s="334"/>
      <c r="WB34" s="334"/>
      <c r="WC34" s="334"/>
      <c r="WD34" s="334"/>
      <c r="WE34" s="334"/>
      <c r="WF34" s="334"/>
      <c r="WG34" s="334"/>
      <c r="WH34" s="334"/>
      <c r="WI34" s="334"/>
      <c r="WJ34" s="334"/>
      <c r="WK34" s="334"/>
      <c r="WL34" s="334"/>
      <c r="WM34" s="334"/>
      <c r="WN34" s="334"/>
      <c r="WO34" s="334"/>
      <c r="WP34" s="334"/>
      <c r="WQ34" s="334"/>
      <c r="WR34" s="334"/>
      <c r="WS34" s="334"/>
      <c r="WT34" s="334"/>
      <c r="WU34" s="334"/>
      <c r="WV34" s="334"/>
      <c r="WW34" s="334"/>
      <c r="WX34" s="334"/>
      <c r="WY34" s="334"/>
      <c r="WZ34" s="334"/>
      <c r="XA34" s="334"/>
      <c r="XB34" s="334"/>
      <c r="XC34" s="334"/>
      <c r="XD34" s="334"/>
      <c r="XE34" s="334"/>
      <c r="XF34" s="334"/>
      <c r="XG34" s="334"/>
      <c r="XH34" s="334"/>
      <c r="XI34" s="334"/>
      <c r="XJ34" s="334"/>
      <c r="XK34" s="334"/>
      <c r="XL34" s="334"/>
      <c r="XM34" s="334"/>
      <c r="XN34" s="334"/>
      <c r="XO34" s="334"/>
      <c r="XP34" s="334"/>
      <c r="XQ34" s="334"/>
      <c r="XR34" s="334"/>
      <c r="XS34" s="334"/>
      <c r="XT34" s="334"/>
      <c r="XU34" s="334"/>
      <c r="XV34" s="334"/>
      <c r="XW34" s="334"/>
      <c r="XX34" s="334"/>
      <c r="XY34" s="334"/>
      <c r="XZ34" s="334"/>
      <c r="YA34" s="334"/>
      <c r="YB34" s="334"/>
      <c r="YC34" s="334"/>
      <c r="YD34" s="334"/>
      <c r="YE34" s="334"/>
      <c r="YF34" s="334"/>
      <c r="YG34" s="334"/>
      <c r="YH34" s="334"/>
      <c r="YI34" s="334"/>
      <c r="YJ34" s="334"/>
      <c r="YK34" s="334"/>
      <c r="YL34" s="334"/>
      <c r="YM34" s="334"/>
      <c r="YN34" s="334"/>
      <c r="YO34" s="334"/>
      <c r="YP34" s="334"/>
      <c r="YQ34" s="334"/>
      <c r="YR34" s="334"/>
      <c r="YS34" s="334"/>
      <c r="YT34" s="334"/>
      <c r="YU34" s="334"/>
      <c r="YV34" s="334"/>
      <c r="YW34" s="334"/>
      <c r="YX34" s="334"/>
      <c r="YY34" s="334"/>
      <c r="YZ34" s="334"/>
      <c r="ZA34" s="334"/>
      <c r="ZB34" s="334"/>
      <c r="ZC34" s="334"/>
      <c r="ZD34" s="334"/>
      <c r="ZE34" s="334"/>
      <c r="ZF34" s="334"/>
      <c r="ZG34" s="334"/>
      <c r="ZH34" s="334"/>
      <c r="ZI34" s="334"/>
      <c r="ZJ34" s="334"/>
      <c r="ZK34" s="334"/>
      <c r="ZL34" s="334"/>
      <c r="ZM34" s="334"/>
      <c r="ZN34" s="334"/>
      <c r="ZO34" s="334"/>
      <c r="ZP34" s="334"/>
      <c r="ZQ34" s="334"/>
      <c r="ZR34" s="334"/>
      <c r="ZS34" s="334"/>
      <c r="ZT34" s="334"/>
      <c r="ZU34" s="334"/>
      <c r="ZV34" s="334"/>
      <c r="ZW34" s="334"/>
      <c r="ZX34" s="334"/>
      <c r="ZY34" s="334"/>
      <c r="ZZ34" s="334"/>
      <c r="AAA34" s="334"/>
      <c r="AAB34" s="334"/>
      <c r="AAC34" s="334"/>
      <c r="AAD34" s="334"/>
      <c r="AAE34" s="334"/>
      <c r="AAF34" s="334"/>
      <c r="AAG34" s="334"/>
      <c r="AAH34" s="334"/>
      <c r="AAI34" s="334"/>
      <c r="AAJ34" s="334"/>
      <c r="AAK34" s="334"/>
      <c r="AAL34" s="334"/>
      <c r="AAM34" s="334"/>
      <c r="AAN34" s="334"/>
      <c r="AAO34" s="334"/>
      <c r="AAP34" s="334"/>
      <c r="AAQ34" s="334"/>
      <c r="AAR34" s="334"/>
      <c r="AAS34" s="334"/>
      <c r="AAT34" s="334"/>
      <c r="AAU34" s="334"/>
      <c r="AAV34" s="334"/>
      <c r="AAW34" s="334"/>
      <c r="AAX34" s="334"/>
      <c r="AAY34" s="334"/>
      <c r="AAZ34" s="334"/>
      <c r="ABA34" s="334"/>
      <c r="ABB34" s="334"/>
      <c r="ABC34" s="334"/>
      <c r="ABD34" s="334"/>
      <c r="ABE34" s="334"/>
      <c r="ABF34" s="334"/>
      <c r="ABG34" s="334"/>
      <c r="ABH34" s="334"/>
      <c r="ABI34" s="334"/>
      <c r="ABJ34" s="334"/>
      <c r="ABK34" s="334"/>
      <c r="ABL34" s="334"/>
      <c r="ABM34" s="334"/>
      <c r="ABN34" s="334"/>
      <c r="ABO34" s="334"/>
      <c r="ABP34" s="334"/>
      <c r="ABQ34" s="334"/>
      <c r="ABR34" s="334"/>
      <c r="ABS34" s="334"/>
      <c r="ABT34" s="334"/>
      <c r="ABU34" s="334"/>
      <c r="ABV34" s="334"/>
      <c r="ABW34" s="334"/>
      <c r="ABX34" s="334"/>
      <c r="ABY34" s="334"/>
      <c r="ABZ34" s="334"/>
      <c r="ACA34" s="334"/>
      <c r="ACB34" s="334"/>
      <c r="ACC34" s="334"/>
      <c r="ACD34" s="334"/>
      <c r="ACE34" s="334"/>
      <c r="ACF34" s="334"/>
      <c r="ACG34" s="334"/>
      <c r="ACH34" s="334"/>
      <c r="ACI34" s="334"/>
      <c r="ACJ34" s="334"/>
      <c r="ACK34" s="334"/>
      <c r="ACL34" s="334"/>
      <c r="ACM34" s="334"/>
      <c r="ACN34" s="334"/>
      <c r="ACO34" s="334"/>
      <c r="ACP34" s="334"/>
      <c r="ACQ34" s="334"/>
      <c r="ACR34" s="334"/>
      <c r="ACS34" s="334"/>
      <c r="ACT34" s="334"/>
      <c r="ACU34" s="334"/>
      <c r="ACV34" s="334"/>
      <c r="ACW34" s="334"/>
      <c r="ACX34" s="334"/>
      <c r="ACY34" s="334"/>
      <c r="ACZ34" s="334"/>
      <c r="ADA34" s="334"/>
      <c r="ADB34" s="334"/>
      <c r="ADC34" s="334"/>
      <c r="ADD34" s="334"/>
      <c r="ADE34" s="334"/>
      <c r="ADF34" s="334"/>
      <c r="ADG34" s="334"/>
      <c r="ADH34" s="334"/>
      <c r="ADI34" s="334"/>
      <c r="ADJ34" s="334"/>
      <c r="ADK34" s="334"/>
      <c r="ADL34" s="334"/>
      <c r="ADM34" s="334"/>
      <c r="ADN34" s="334"/>
      <c r="ADO34" s="334"/>
      <c r="ADP34" s="334"/>
      <c r="ADQ34" s="334"/>
      <c r="ADR34" s="334"/>
      <c r="ADS34" s="334"/>
      <c r="ADT34" s="334"/>
      <c r="ADU34" s="334"/>
      <c r="ADV34" s="334"/>
      <c r="ADW34" s="334"/>
      <c r="ADX34" s="334"/>
      <c r="ADY34" s="334"/>
      <c r="ADZ34" s="334"/>
      <c r="AEA34" s="334"/>
      <c r="AEB34" s="334"/>
      <c r="AEC34" s="334"/>
      <c r="AED34" s="334"/>
      <c r="AEE34" s="334"/>
      <c r="AEF34" s="334"/>
      <c r="AEG34" s="334"/>
      <c r="AEH34" s="334"/>
      <c r="AEI34" s="334"/>
      <c r="AEJ34" s="334"/>
      <c r="AEK34" s="334"/>
      <c r="AEL34" s="334"/>
      <c r="AEM34" s="334"/>
      <c r="AEN34" s="334"/>
      <c r="AEO34" s="334"/>
      <c r="AEP34" s="334"/>
      <c r="AEQ34" s="334"/>
      <c r="AER34" s="334"/>
      <c r="AES34" s="334"/>
      <c r="AET34" s="334"/>
      <c r="AEU34" s="334"/>
      <c r="AEV34" s="334"/>
      <c r="AEW34" s="334"/>
      <c r="AEX34" s="334"/>
      <c r="AEY34" s="334"/>
      <c r="AEZ34" s="334"/>
      <c r="AFA34" s="334"/>
      <c r="AFB34" s="334"/>
      <c r="AFC34" s="334"/>
      <c r="AFD34" s="334"/>
      <c r="AFE34" s="334"/>
      <c r="AFF34" s="334"/>
      <c r="AFG34" s="334"/>
      <c r="AFH34" s="334"/>
      <c r="AFI34" s="334"/>
      <c r="AFJ34" s="334"/>
      <c r="AFK34" s="334"/>
      <c r="AFL34" s="334"/>
      <c r="AFM34" s="334"/>
      <c r="AFN34" s="334"/>
      <c r="AFO34" s="334"/>
      <c r="AFP34" s="334"/>
      <c r="AFQ34" s="334"/>
      <c r="AFR34" s="334"/>
      <c r="AFS34" s="334"/>
      <c r="AFT34" s="334"/>
      <c r="AFU34" s="334"/>
      <c r="AFV34" s="334"/>
      <c r="AFW34" s="334"/>
      <c r="AFX34" s="334"/>
      <c r="AFY34" s="334"/>
      <c r="AFZ34" s="334"/>
      <c r="AGA34" s="334"/>
      <c r="AGB34" s="334"/>
      <c r="AGC34" s="334"/>
      <c r="AGD34" s="334"/>
      <c r="AGE34" s="334"/>
      <c r="AGF34" s="334"/>
      <c r="AGG34" s="334"/>
      <c r="AGH34" s="334"/>
      <c r="AGI34" s="334"/>
      <c r="AGJ34" s="334"/>
      <c r="AGK34" s="334"/>
      <c r="AGL34" s="334"/>
      <c r="AGM34" s="334"/>
      <c r="AGN34" s="334"/>
      <c r="AGO34" s="334"/>
      <c r="AGP34" s="334"/>
      <c r="AGQ34" s="334"/>
      <c r="AGR34" s="334"/>
      <c r="AGS34" s="334"/>
      <c r="AGT34" s="334"/>
      <c r="AGU34" s="334"/>
      <c r="AGV34" s="334"/>
      <c r="AGW34" s="334"/>
      <c r="AGX34" s="334"/>
      <c r="AGY34" s="334"/>
      <c r="AGZ34" s="334"/>
      <c r="AHA34" s="334"/>
      <c r="AHB34" s="334"/>
      <c r="AHC34" s="334"/>
      <c r="AHD34" s="334"/>
      <c r="AHE34" s="334"/>
      <c r="AHF34" s="334"/>
      <c r="AHG34" s="334"/>
      <c r="AHH34" s="334"/>
      <c r="AHI34" s="334"/>
      <c r="AHJ34" s="334"/>
      <c r="AHK34" s="334"/>
      <c r="AHL34" s="334"/>
      <c r="AHM34" s="334"/>
      <c r="AHN34" s="334"/>
      <c r="AHO34" s="334"/>
      <c r="AHP34" s="334"/>
      <c r="AHQ34" s="334"/>
      <c r="AHR34" s="334"/>
      <c r="AHS34" s="334"/>
      <c r="AHT34" s="334"/>
      <c r="AHU34" s="334"/>
      <c r="AHV34" s="334"/>
      <c r="AHW34" s="334"/>
      <c r="AHX34" s="334"/>
      <c r="AHY34" s="334"/>
      <c r="AHZ34" s="334"/>
      <c r="AIA34" s="334"/>
      <c r="AIB34" s="334"/>
      <c r="AIC34" s="334"/>
      <c r="AID34" s="334"/>
      <c r="AIE34" s="334"/>
      <c r="AIF34" s="334"/>
      <c r="AIG34" s="334"/>
      <c r="AIH34" s="334"/>
      <c r="AII34" s="334"/>
      <c r="AIJ34" s="334"/>
      <c r="AIK34" s="334"/>
      <c r="AIL34" s="334"/>
      <c r="AIM34" s="334"/>
      <c r="AIN34" s="334"/>
      <c r="AIO34" s="334"/>
      <c r="AIP34" s="334"/>
      <c r="AIQ34" s="334"/>
      <c r="AIR34" s="334"/>
      <c r="AIS34" s="334"/>
      <c r="AIT34" s="334"/>
      <c r="AIU34" s="334"/>
      <c r="AIV34" s="334"/>
      <c r="AIW34" s="334"/>
      <c r="AIX34" s="334"/>
      <c r="AIY34" s="334"/>
      <c r="AIZ34" s="334"/>
      <c r="AJA34" s="334"/>
      <c r="AJB34" s="334"/>
      <c r="AJC34" s="334"/>
      <c r="AJD34" s="334"/>
      <c r="AJE34" s="334"/>
      <c r="AJF34" s="334"/>
      <c r="AJG34" s="334"/>
      <c r="AJH34" s="334"/>
      <c r="AJI34" s="334"/>
      <c r="AJJ34" s="334"/>
      <c r="AJK34" s="334"/>
      <c r="AJL34" s="334"/>
      <c r="AJM34" s="334"/>
      <c r="AJN34" s="334"/>
      <c r="AJO34" s="334"/>
      <c r="AJP34" s="334"/>
      <c r="AJQ34" s="334"/>
      <c r="AJR34" s="334"/>
      <c r="AJS34" s="334"/>
      <c r="AJT34" s="334"/>
      <c r="AJU34" s="334"/>
      <c r="AJV34" s="334"/>
      <c r="AJW34" s="334"/>
      <c r="AJX34" s="334"/>
      <c r="AJY34" s="334"/>
      <c r="AJZ34" s="334"/>
      <c r="AKA34" s="334"/>
      <c r="AKB34" s="334"/>
      <c r="AKC34" s="334"/>
      <c r="AKD34" s="334"/>
      <c r="AKE34" s="334"/>
      <c r="AKF34" s="334"/>
      <c r="AKG34" s="334"/>
      <c r="AKH34" s="334"/>
      <c r="AKI34" s="334"/>
      <c r="AKJ34" s="334"/>
      <c r="AKK34" s="334"/>
      <c r="AKL34" s="334"/>
      <c r="AKM34" s="334"/>
      <c r="AKN34" s="334"/>
      <c r="AKO34" s="334"/>
      <c r="AKP34" s="334"/>
      <c r="AKQ34" s="334"/>
      <c r="AKR34" s="334"/>
      <c r="AKS34" s="334"/>
      <c r="AKT34" s="334"/>
      <c r="AKU34" s="334"/>
      <c r="AKV34" s="334"/>
      <c r="AKW34" s="334"/>
      <c r="AKX34" s="334"/>
      <c r="AKY34" s="334"/>
      <c r="AKZ34" s="334"/>
      <c r="ALA34" s="334"/>
      <c r="ALB34" s="334"/>
      <c r="ALC34" s="334"/>
      <c r="ALD34" s="334"/>
      <c r="ALE34" s="334"/>
      <c r="ALF34" s="334"/>
      <c r="ALG34" s="334"/>
      <c r="ALH34" s="334"/>
      <c r="ALI34" s="334"/>
      <c r="ALJ34" s="334"/>
      <c r="ALK34" s="334"/>
      <c r="ALL34" s="334"/>
      <c r="ALM34" s="334"/>
      <c r="ALN34" s="334"/>
      <c r="ALO34" s="334"/>
      <c r="ALP34" s="334"/>
      <c r="ALQ34" s="334"/>
      <c r="ALR34" s="334"/>
      <c r="ALS34" s="334"/>
      <c r="ALT34" s="334"/>
      <c r="ALU34" s="334"/>
      <c r="ALV34" s="334"/>
      <c r="ALW34" s="334"/>
      <c r="ALX34" s="334"/>
      <c r="ALY34" s="334"/>
      <c r="ALZ34" s="334"/>
      <c r="AMA34" s="334"/>
      <c r="AMB34" s="334"/>
      <c r="AMC34" s="334"/>
      <c r="AMD34" s="334"/>
      <c r="AME34" s="334"/>
      <c r="AMF34" s="334"/>
      <c r="AMG34" s="334"/>
      <c r="AMH34" s="334"/>
      <c r="AMI34" s="334"/>
      <c r="AMJ34" s="334"/>
      <c r="AMK34" s="334"/>
      <c r="AML34" s="334"/>
      <c r="AMM34" s="334"/>
      <c r="AMN34" s="334"/>
      <c r="AMO34" s="334"/>
      <c r="AMP34" s="334"/>
      <c r="AMQ34" s="334"/>
      <c r="AMR34" s="334"/>
      <c r="AMS34" s="334"/>
      <c r="AMT34" s="334"/>
      <c r="AMU34" s="334"/>
      <c r="AMV34" s="334"/>
      <c r="AMW34" s="334"/>
      <c r="AMX34" s="334"/>
      <c r="AMY34" s="334"/>
      <c r="AMZ34" s="334"/>
    </row>
    <row r="35" spans="1:1040" s="333" customFormat="1" ht="13.2" x14ac:dyDescent="0.25">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5"/>
      <c r="AA35" s="335"/>
      <c r="AB35" s="335"/>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4"/>
      <c r="DD35" s="334"/>
      <c r="DE35" s="334"/>
      <c r="DF35" s="334"/>
      <c r="DG35" s="334"/>
      <c r="DH35" s="334"/>
      <c r="DI35" s="334"/>
      <c r="DJ35" s="334"/>
      <c r="DK35" s="334"/>
      <c r="DL35" s="334"/>
      <c r="DM35" s="334"/>
      <c r="DN35" s="334"/>
      <c r="DO35" s="334"/>
      <c r="DP35" s="334"/>
      <c r="DQ35" s="334"/>
      <c r="DR35" s="334"/>
      <c r="DS35" s="334"/>
      <c r="DT35" s="334"/>
      <c r="DU35" s="334"/>
      <c r="DV35" s="334"/>
      <c r="DW35" s="334"/>
      <c r="DX35" s="334"/>
      <c r="DY35" s="334"/>
      <c r="DZ35" s="334"/>
      <c r="EA35" s="334"/>
      <c r="EB35" s="334"/>
      <c r="EC35" s="334"/>
      <c r="ED35" s="334"/>
      <c r="EE35" s="334"/>
      <c r="EF35" s="334"/>
      <c r="EG35" s="334"/>
      <c r="EH35" s="334"/>
      <c r="EI35" s="334"/>
      <c r="EJ35" s="334"/>
      <c r="EK35" s="334"/>
      <c r="EL35" s="334"/>
      <c r="EM35" s="334"/>
      <c r="EN35" s="334"/>
      <c r="EO35" s="334"/>
      <c r="EP35" s="334"/>
      <c r="EQ35" s="334"/>
      <c r="ER35" s="334"/>
      <c r="ES35" s="334"/>
      <c r="ET35" s="334"/>
      <c r="EU35" s="334"/>
      <c r="EV35" s="334"/>
      <c r="EW35" s="334"/>
      <c r="EX35" s="334"/>
      <c r="EY35" s="334"/>
      <c r="EZ35" s="334"/>
      <c r="FA35" s="334"/>
      <c r="FB35" s="334"/>
      <c r="FC35" s="334"/>
      <c r="FD35" s="334"/>
      <c r="FE35" s="334"/>
      <c r="FF35" s="334"/>
      <c r="FG35" s="334"/>
      <c r="FH35" s="334"/>
      <c r="FI35" s="334"/>
      <c r="FJ35" s="334"/>
      <c r="FK35" s="334"/>
      <c r="FL35" s="334"/>
      <c r="FM35" s="334"/>
      <c r="FN35" s="334"/>
      <c r="FO35" s="334"/>
      <c r="FP35" s="334"/>
      <c r="FQ35" s="334"/>
      <c r="FR35" s="334"/>
      <c r="FS35" s="334"/>
      <c r="FT35" s="334"/>
      <c r="FU35" s="334"/>
      <c r="FV35" s="334"/>
      <c r="FW35" s="334"/>
      <c r="FX35" s="334"/>
      <c r="FY35" s="334"/>
      <c r="FZ35" s="334"/>
      <c r="GA35" s="334"/>
      <c r="GB35" s="334"/>
      <c r="GC35" s="334"/>
      <c r="GD35" s="334"/>
      <c r="GE35" s="334"/>
      <c r="GF35" s="334"/>
      <c r="GG35" s="334"/>
      <c r="GH35" s="334"/>
      <c r="GI35" s="334"/>
      <c r="GJ35" s="334"/>
      <c r="GK35" s="334"/>
      <c r="GL35" s="334"/>
      <c r="GM35" s="334"/>
      <c r="GN35" s="334"/>
      <c r="GO35" s="334"/>
      <c r="GP35" s="334"/>
      <c r="GQ35" s="334"/>
      <c r="GR35" s="334"/>
      <c r="GS35" s="334"/>
      <c r="GT35" s="334"/>
      <c r="GU35" s="334"/>
      <c r="GV35" s="334"/>
      <c r="GW35" s="334"/>
      <c r="GX35" s="334"/>
      <c r="GY35" s="334"/>
      <c r="GZ35" s="334"/>
      <c r="HA35" s="334"/>
      <c r="HB35" s="334"/>
      <c r="HC35" s="334"/>
      <c r="HD35" s="334"/>
      <c r="HE35" s="334"/>
      <c r="HF35" s="334"/>
      <c r="HG35" s="334"/>
      <c r="HH35" s="334"/>
      <c r="HI35" s="334"/>
      <c r="HJ35" s="334"/>
      <c r="HK35" s="334"/>
      <c r="HL35" s="334"/>
      <c r="HM35" s="334"/>
      <c r="HN35" s="334"/>
      <c r="HO35" s="334"/>
      <c r="HP35" s="334"/>
      <c r="HQ35" s="334"/>
      <c r="HR35" s="334"/>
      <c r="HS35" s="334"/>
      <c r="HT35" s="334"/>
      <c r="HU35" s="334"/>
      <c r="HV35" s="334"/>
      <c r="HW35" s="334"/>
      <c r="HX35" s="334"/>
      <c r="HY35" s="334"/>
      <c r="HZ35" s="334"/>
      <c r="IA35" s="334"/>
      <c r="IB35" s="334"/>
      <c r="IC35" s="334"/>
      <c r="ID35" s="334"/>
      <c r="IE35" s="334"/>
      <c r="IF35" s="334"/>
      <c r="IG35" s="334"/>
      <c r="IH35" s="334"/>
      <c r="II35" s="334"/>
      <c r="IJ35" s="334"/>
      <c r="IK35" s="334"/>
      <c r="IL35" s="334"/>
      <c r="IM35" s="334"/>
      <c r="IN35" s="334"/>
      <c r="IO35" s="334"/>
      <c r="IP35" s="334"/>
      <c r="IQ35" s="334"/>
      <c r="IR35" s="334"/>
      <c r="IS35" s="334"/>
      <c r="IT35" s="334"/>
      <c r="IU35" s="334"/>
      <c r="IV35" s="334"/>
      <c r="IW35" s="334"/>
      <c r="IX35" s="334"/>
      <c r="IY35" s="334"/>
      <c r="IZ35" s="334"/>
      <c r="JA35" s="334"/>
      <c r="JB35" s="334"/>
      <c r="JC35" s="334"/>
      <c r="JD35" s="334"/>
      <c r="JE35" s="334"/>
      <c r="JF35" s="334"/>
      <c r="JG35" s="334"/>
      <c r="JH35" s="334"/>
      <c r="JI35" s="334"/>
      <c r="JJ35" s="334"/>
      <c r="JK35" s="334"/>
      <c r="JL35" s="334"/>
      <c r="JM35" s="334"/>
      <c r="JN35" s="334"/>
      <c r="JO35" s="334"/>
      <c r="JP35" s="334"/>
      <c r="JQ35" s="334"/>
      <c r="JR35" s="334"/>
      <c r="JS35" s="334"/>
      <c r="JT35" s="334"/>
      <c r="JU35" s="334"/>
      <c r="JV35" s="334"/>
      <c r="JW35" s="334"/>
      <c r="JX35" s="334"/>
      <c r="JY35" s="334"/>
      <c r="JZ35" s="334"/>
      <c r="KA35" s="334"/>
      <c r="KB35" s="334"/>
      <c r="KC35" s="334"/>
      <c r="KD35" s="334"/>
      <c r="KE35" s="334"/>
      <c r="KF35" s="334"/>
      <c r="KG35" s="334"/>
      <c r="KH35" s="334"/>
      <c r="KI35" s="334"/>
      <c r="KJ35" s="334"/>
      <c r="KK35" s="334"/>
      <c r="KL35" s="334"/>
      <c r="KM35" s="334"/>
      <c r="KN35" s="334"/>
      <c r="KO35" s="334"/>
      <c r="KP35" s="334"/>
      <c r="KQ35" s="334"/>
      <c r="KR35" s="334"/>
      <c r="KS35" s="334"/>
      <c r="KT35" s="334"/>
      <c r="KU35" s="334"/>
      <c r="KV35" s="334"/>
      <c r="KW35" s="334"/>
      <c r="KX35" s="334"/>
      <c r="KY35" s="334"/>
      <c r="KZ35" s="334"/>
      <c r="LA35" s="334"/>
      <c r="LB35" s="334"/>
      <c r="LC35" s="334"/>
      <c r="LD35" s="334"/>
      <c r="LE35" s="334"/>
      <c r="LF35" s="334"/>
      <c r="LG35" s="334"/>
      <c r="LH35" s="334"/>
      <c r="LI35" s="334"/>
      <c r="LJ35" s="334"/>
      <c r="LK35" s="334"/>
      <c r="LL35" s="334"/>
      <c r="LM35" s="334"/>
      <c r="LN35" s="334"/>
      <c r="LO35" s="334"/>
      <c r="LP35" s="334"/>
      <c r="LQ35" s="334"/>
      <c r="LR35" s="334"/>
      <c r="LS35" s="334"/>
      <c r="LT35" s="334"/>
      <c r="LU35" s="334"/>
      <c r="LV35" s="334"/>
      <c r="LW35" s="334"/>
      <c r="LX35" s="334"/>
      <c r="LY35" s="334"/>
      <c r="LZ35" s="334"/>
      <c r="MA35" s="334"/>
      <c r="MB35" s="334"/>
      <c r="MC35" s="334"/>
      <c r="MD35" s="334"/>
      <c r="ME35" s="334"/>
      <c r="MF35" s="334"/>
      <c r="MG35" s="334"/>
      <c r="MH35" s="334"/>
      <c r="MI35" s="334"/>
      <c r="MJ35" s="334"/>
      <c r="MK35" s="334"/>
      <c r="ML35" s="334"/>
      <c r="MM35" s="334"/>
      <c r="MN35" s="334"/>
      <c r="MO35" s="334"/>
      <c r="MP35" s="334"/>
      <c r="MQ35" s="334"/>
      <c r="MR35" s="334"/>
      <c r="MS35" s="334"/>
      <c r="MT35" s="334"/>
      <c r="MU35" s="334"/>
      <c r="MV35" s="334"/>
      <c r="MW35" s="334"/>
      <c r="MX35" s="334"/>
      <c r="MY35" s="334"/>
      <c r="MZ35" s="334"/>
      <c r="NA35" s="334"/>
      <c r="NB35" s="334"/>
      <c r="NC35" s="334"/>
      <c r="ND35" s="334"/>
      <c r="NE35" s="334"/>
      <c r="NF35" s="334"/>
      <c r="NG35" s="334"/>
      <c r="NH35" s="334"/>
      <c r="NI35" s="334"/>
      <c r="NJ35" s="334"/>
      <c r="NK35" s="334"/>
      <c r="NL35" s="334"/>
      <c r="NM35" s="334"/>
      <c r="NN35" s="334"/>
      <c r="NO35" s="334"/>
      <c r="NP35" s="334"/>
      <c r="NQ35" s="334"/>
      <c r="NR35" s="334"/>
      <c r="NS35" s="334"/>
      <c r="NT35" s="334"/>
      <c r="NU35" s="334"/>
      <c r="NV35" s="334"/>
      <c r="NW35" s="334"/>
      <c r="NX35" s="334"/>
      <c r="NY35" s="334"/>
      <c r="NZ35" s="334"/>
      <c r="OA35" s="334"/>
      <c r="OB35" s="334"/>
      <c r="OC35" s="334"/>
      <c r="OD35" s="334"/>
      <c r="OE35" s="334"/>
      <c r="OF35" s="334"/>
      <c r="OG35" s="334"/>
      <c r="OH35" s="334"/>
      <c r="OI35" s="334"/>
      <c r="OJ35" s="334"/>
      <c r="OK35" s="334"/>
      <c r="OL35" s="334"/>
      <c r="OM35" s="334"/>
      <c r="ON35" s="334"/>
      <c r="OO35" s="334"/>
      <c r="OP35" s="334"/>
      <c r="OQ35" s="334"/>
      <c r="OR35" s="334"/>
      <c r="OS35" s="334"/>
      <c r="OT35" s="334"/>
      <c r="OU35" s="334"/>
      <c r="OV35" s="334"/>
      <c r="OW35" s="334"/>
      <c r="OX35" s="334"/>
      <c r="OY35" s="334"/>
      <c r="OZ35" s="334"/>
      <c r="PA35" s="334"/>
      <c r="PB35" s="334"/>
      <c r="PC35" s="334"/>
      <c r="PD35" s="334"/>
      <c r="PE35" s="334"/>
      <c r="PF35" s="334"/>
      <c r="PG35" s="334"/>
      <c r="PH35" s="334"/>
      <c r="PI35" s="334"/>
      <c r="PJ35" s="334"/>
      <c r="PK35" s="334"/>
      <c r="PL35" s="334"/>
      <c r="PM35" s="334"/>
      <c r="PN35" s="334"/>
      <c r="PO35" s="334"/>
      <c r="PP35" s="334"/>
      <c r="PQ35" s="334"/>
      <c r="PR35" s="334"/>
      <c r="PS35" s="334"/>
      <c r="PT35" s="334"/>
      <c r="PU35" s="334"/>
      <c r="PV35" s="334"/>
      <c r="PW35" s="334"/>
      <c r="PX35" s="334"/>
      <c r="PY35" s="334"/>
      <c r="PZ35" s="334"/>
      <c r="QA35" s="334"/>
      <c r="QB35" s="334"/>
      <c r="QC35" s="334"/>
      <c r="QD35" s="334"/>
      <c r="QE35" s="334"/>
      <c r="QF35" s="334"/>
      <c r="QG35" s="334"/>
      <c r="QH35" s="334"/>
      <c r="QI35" s="334"/>
      <c r="QJ35" s="334"/>
      <c r="QK35" s="334"/>
      <c r="QL35" s="334"/>
      <c r="QM35" s="334"/>
      <c r="QN35" s="334"/>
      <c r="QO35" s="334"/>
      <c r="QP35" s="334"/>
      <c r="QQ35" s="334"/>
      <c r="QR35" s="334"/>
      <c r="QS35" s="334"/>
      <c r="QT35" s="334"/>
      <c r="QU35" s="334"/>
      <c r="QV35" s="334"/>
      <c r="QW35" s="334"/>
      <c r="QX35" s="334"/>
      <c r="QY35" s="334"/>
      <c r="QZ35" s="334"/>
      <c r="RA35" s="334"/>
      <c r="RB35" s="334"/>
      <c r="RC35" s="334"/>
      <c r="RD35" s="334"/>
      <c r="RE35" s="334"/>
      <c r="RF35" s="334"/>
      <c r="RG35" s="334"/>
      <c r="RH35" s="334"/>
      <c r="RI35" s="334"/>
      <c r="RJ35" s="334"/>
      <c r="RK35" s="334"/>
      <c r="RL35" s="334"/>
      <c r="RM35" s="334"/>
      <c r="RN35" s="334"/>
      <c r="RO35" s="334"/>
      <c r="RP35" s="334"/>
      <c r="RQ35" s="334"/>
      <c r="RR35" s="334"/>
      <c r="RS35" s="334"/>
      <c r="RT35" s="334"/>
      <c r="RU35" s="334"/>
      <c r="RV35" s="334"/>
      <c r="RW35" s="334"/>
      <c r="RX35" s="334"/>
      <c r="RY35" s="334"/>
      <c r="RZ35" s="334"/>
      <c r="SA35" s="334"/>
      <c r="SB35" s="334"/>
      <c r="SC35" s="334"/>
      <c r="SD35" s="334"/>
      <c r="SE35" s="334"/>
      <c r="SF35" s="334"/>
      <c r="SG35" s="334"/>
      <c r="SH35" s="334"/>
      <c r="SI35" s="334"/>
      <c r="SJ35" s="334"/>
      <c r="SK35" s="334"/>
      <c r="SL35" s="334"/>
      <c r="SM35" s="334"/>
      <c r="SN35" s="334"/>
      <c r="SO35" s="334"/>
      <c r="SP35" s="334"/>
      <c r="SQ35" s="334"/>
      <c r="SR35" s="334"/>
      <c r="SS35" s="334"/>
      <c r="ST35" s="334"/>
      <c r="SU35" s="334"/>
      <c r="SV35" s="334"/>
      <c r="SW35" s="334"/>
      <c r="SX35" s="334"/>
      <c r="SY35" s="334"/>
      <c r="SZ35" s="334"/>
      <c r="TA35" s="334"/>
      <c r="TB35" s="334"/>
      <c r="TC35" s="334"/>
      <c r="TD35" s="334"/>
      <c r="TE35" s="334"/>
      <c r="TF35" s="334"/>
      <c r="TG35" s="334"/>
      <c r="TH35" s="334"/>
      <c r="TI35" s="334"/>
      <c r="TJ35" s="334"/>
      <c r="TK35" s="334"/>
      <c r="TL35" s="334"/>
      <c r="TM35" s="334"/>
      <c r="TN35" s="334"/>
      <c r="TO35" s="334"/>
      <c r="TP35" s="334"/>
      <c r="TQ35" s="334"/>
      <c r="TR35" s="334"/>
      <c r="TS35" s="334"/>
      <c r="TT35" s="334"/>
      <c r="TU35" s="334"/>
      <c r="TV35" s="334"/>
      <c r="TW35" s="334"/>
      <c r="TX35" s="334"/>
      <c r="TY35" s="334"/>
      <c r="TZ35" s="334"/>
      <c r="UA35" s="334"/>
      <c r="UB35" s="334"/>
      <c r="UC35" s="334"/>
      <c r="UD35" s="334"/>
      <c r="UE35" s="334"/>
      <c r="UF35" s="334"/>
      <c r="UG35" s="334"/>
      <c r="UH35" s="334"/>
      <c r="UI35" s="334"/>
      <c r="UJ35" s="334"/>
      <c r="UK35" s="334"/>
      <c r="UL35" s="334"/>
      <c r="UM35" s="334"/>
      <c r="UN35" s="334"/>
      <c r="UO35" s="334"/>
      <c r="UP35" s="334"/>
      <c r="UQ35" s="334"/>
      <c r="UR35" s="334"/>
      <c r="US35" s="334"/>
      <c r="UT35" s="334"/>
      <c r="UU35" s="334"/>
      <c r="UV35" s="334"/>
      <c r="UW35" s="334"/>
      <c r="UX35" s="334"/>
      <c r="UY35" s="334"/>
      <c r="UZ35" s="334"/>
      <c r="VA35" s="334"/>
      <c r="VB35" s="334"/>
      <c r="VC35" s="334"/>
      <c r="VD35" s="334"/>
      <c r="VE35" s="334"/>
      <c r="VF35" s="334"/>
      <c r="VG35" s="334"/>
      <c r="VH35" s="334"/>
      <c r="VI35" s="334"/>
      <c r="VJ35" s="334"/>
      <c r="VK35" s="334"/>
      <c r="VL35" s="334"/>
      <c r="VM35" s="334"/>
      <c r="VN35" s="334"/>
      <c r="VO35" s="334"/>
      <c r="VP35" s="334"/>
      <c r="VQ35" s="334"/>
      <c r="VR35" s="334"/>
      <c r="VS35" s="334"/>
      <c r="VT35" s="334"/>
      <c r="VU35" s="334"/>
      <c r="VV35" s="334"/>
      <c r="VW35" s="334"/>
      <c r="VX35" s="334"/>
      <c r="VY35" s="334"/>
      <c r="VZ35" s="334"/>
      <c r="WA35" s="334"/>
      <c r="WB35" s="334"/>
      <c r="WC35" s="334"/>
      <c r="WD35" s="334"/>
      <c r="WE35" s="334"/>
      <c r="WF35" s="334"/>
      <c r="WG35" s="334"/>
      <c r="WH35" s="334"/>
      <c r="WI35" s="334"/>
      <c r="WJ35" s="334"/>
      <c r="WK35" s="334"/>
      <c r="WL35" s="334"/>
      <c r="WM35" s="334"/>
      <c r="WN35" s="334"/>
      <c r="WO35" s="334"/>
      <c r="WP35" s="334"/>
      <c r="WQ35" s="334"/>
      <c r="WR35" s="334"/>
      <c r="WS35" s="334"/>
      <c r="WT35" s="334"/>
      <c r="WU35" s="334"/>
      <c r="WV35" s="334"/>
      <c r="WW35" s="334"/>
      <c r="WX35" s="334"/>
      <c r="WY35" s="334"/>
      <c r="WZ35" s="334"/>
      <c r="XA35" s="334"/>
      <c r="XB35" s="334"/>
      <c r="XC35" s="334"/>
      <c r="XD35" s="334"/>
      <c r="XE35" s="334"/>
      <c r="XF35" s="334"/>
      <c r="XG35" s="334"/>
      <c r="XH35" s="334"/>
      <c r="XI35" s="334"/>
      <c r="XJ35" s="334"/>
      <c r="XK35" s="334"/>
      <c r="XL35" s="334"/>
      <c r="XM35" s="334"/>
      <c r="XN35" s="334"/>
      <c r="XO35" s="334"/>
      <c r="XP35" s="334"/>
      <c r="XQ35" s="334"/>
      <c r="XR35" s="334"/>
      <c r="XS35" s="334"/>
      <c r="XT35" s="334"/>
      <c r="XU35" s="334"/>
      <c r="XV35" s="334"/>
      <c r="XW35" s="334"/>
      <c r="XX35" s="334"/>
      <c r="XY35" s="334"/>
      <c r="XZ35" s="334"/>
      <c r="YA35" s="334"/>
      <c r="YB35" s="334"/>
      <c r="YC35" s="334"/>
      <c r="YD35" s="334"/>
      <c r="YE35" s="334"/>
      <c r="YF35" s="334"/>
      <c r="YG35" s="334"/>
      <c r="YH35" s="334"/>
      <c r="YI35" s="334"/>
      <c r="YJ35" s="334"/>
      <c r="YK35" s="334"/>
      <c r="YL35" s="334"/>
      <c r="YM35" s="334"/>
      <c r="YN35" s="334"/>
      <c r="YO35" s="334"/>
      <c r="YP35" s="334"/>
      <c r="YQ35" s="334"/>
      <c r="YR35" s="334"/>
      <c r="YS35" s="334"/>
      <c r="YT35" s="334"/>
      <c r="YU35" s="334"/>
      <c r="YV35" s="334"/>
      <c r="YW35" s="334"/>
      <c r="YX35" s="334"/>
      <c r="YY35" s="334"/>
      <c r="YZ35" s="334"/>
      <c r="ZA35" s="334"/>
      <c r="ZB35" s="334"/>
      <c r="ZC35" s="334"/>
      <c r="ZD35" s="334"/>
      <c r="ZE35" s="334"/>
      <c r="ZF35" s="334"/>
      <c r="ZG35" s="334"/>
      <c r="ZH35" s="334"/>
      <c r="ZI35" s="334"/>
      <c r="ZJ35" s="334"/>
      <c r="ZK35" s="334"/>
      <c r="ZL35" s="334"/>
      <c r="ZM35" s="334"/>
      <c r="ZN35" s="334"/>
      <c r="ZO35" s="334"/>
      <c r="ZP35" s="334"/>
      <c r="ZQ35" s="334"/>
      <c r="ZR35" s="334"/>
      <c r="ZS35" s="334"/>
      <c r="ZT35" s="334"/>
      <c r="ZU35" s="334"/>
      <c r="ZV35" s="334"/>
      <c r="ZW35" s="334"/>
      <c r="ZX35" s="334"/>
      <c r="ZY35" s="334"/>
      <c r="ZZ35" s="334"/>
      <c r="AAA35" s="334"/>
      <c r="AAB35" s="334"/>
      <c r="AAC35" s="334"/>
      <c r="AAD35" s="334"/>
      <c r="AAE35" s="334"/>
      <c r="AAF35" s="334"/>
      <c r="AAG35" s="334"/>
      <c r="AAH35" s="334"/>
      <c r="AAI35" s="334"/>
      <c r="AAJ35" s="334"/>
      <c r="AAK35" s="334"/>
      <c r="AAL35" s="334"/>
      <c r="AAM35" s="334"/>
      <c r="AAN35" s="334"/>
      <c r="AAO35" s="334"/>
      <c r="AAP35" s="334"/>
      <c r="AAQ35" s="334"/>
      <c r="AAR35" s="334"/>
      <c r="AAS35" s="334"/>
      <c r="AAT35" s="334"/>
      <c r="AAU35" s="334"/>
      <c r="AAV35" s="334"/>
      <c r="AAW35" s="334"/>
      <c r="AAX35" s="334"/>
      <c r="AAY35" s="334"/>
      <c r="AAZ35" s="334"/>
      <c r="ABA35" s="334"/>
      <c r="ABB35" s="334"/>
      <c r="ABC35" s="334"/>
      <c r="ABD35" s="334"/>
      <c r="ABE35" s="334"/>
      <c r="ABF35" s="334"/>
      <c r="ABG35" s="334"/>
      <c r="ABH35" s="334"/>
      <c r="ABI35" s="334"/>
      <c r="ABJ35" s="334"/>
      <c r="ABK35" s="334"/>
      <c r="ABL35" s="334"/>
      <c r="ABM35" s="334"/>
      <c r="ABN35" s="334"/>
      <c r="ABO35" s="334"/>
      <c r="ABP35" s="334"/>
      <c r="ABQ35" s="334"/>
      <c r="ABR35" s="334"/>
      <c r="ABS35" s="334"/>
      <c r="ABT35" s="334"/>
      <c r="ABU35" s="334"/>
      <c r="ABV35" s="334"/>
      <c r="ABW35" s="334"/>
      <c r="ABX35" s="334"/>
      <c r="ABY35" s="334"/>
      <c r="ABZ35" s="334"/>
      <c r="ACA35" s="334"/>
      <c r="ACB35" s="334"/>
      <c r="ACC35" s="334"/>
      <c r="ACD35" s="334"/>
      <c r="ACE35" s="334"/>
      <c r="ACF35" s="334"/>
      <c r="ACG35" s="334"/>
      <c r="ACH35" s="334"/>
      <c r="ACI35" s="334"/>
      <c r="ACJ35" s="334"/>
      <c r="ACK35" s="334"/>
      <c r="ACL35" s="334"/>
      <c r="ACM35" s="334"/>
      <c r="ACN35" s="334"/>
      <c r="ACO35" s="334"/>
      <c r="ACP35" s="334"/>
      <c r="ACQ35" s="334"/>
      <c r="ACR35" s="334"/>
      <c r="ACS35" s="334"/>
      <c r="ACT35" s="334"/>
      <c r="ACU35" s="334"/>
      <c r="ACV35" s="334"/>
      <c r="ACW35" s="334"/>
      <c r="ACX35" s="334"/>
      <c r="ACY35" s="334"/>
      <c r="ACZ35" s="334"/>
      <c r="ADA35" s="334"/>
      <c r="ADB35" s="334"/>
      <c r="ADC35" s="334"/>
      <c r="ADD35" s="334"/>
      <c r="ADE35" s="334"/>
      <c r="ADF35" s="334"/>
      <c r="ADG35" s="334"/>
      <c r="ADH35" s="334"/>
      <c r="ADI35" s="334"/>
      <c r="ADJ35" s="334"/>
      <c r="ADK35" s="334"/>
      <c r="ADL35" s="334"/>
      <c r="ADM35" s="334"/>
      <c r="ADN35" s="334"/>
      <c r="ADO35" s="334"/>
      <c r="ADP35" s="334"/>
      <c r="ADQ35" s="334"/>
      <c r="ADR35" s="334"/>
      <c r="ADS35" s="334"/>
      <c r="ADT35" s="334"/>
      <c r="ADU35" s="334"/>
      <c r="ADV35" s="334"/>
      <c r="ADW35" s="334"/>
      <c r="ADX35" s="334"/>
      <c r="ADY35" s="334"/>
      <c r="ADZ35" s="334"/>
      <c r="AEA35" s="334"/>
      <c r="AEB35" s="334"/>
      <c r="AEC35" s="334"/>
      <c r="AED35" s="334"/>
      <c r="AEE35" s="334"/>
      <c r="AEF35" s="334"/>
      <c r="AEG35" s="334"/>
      <c r="AEH35" s="334"/>
      <c r="AEI35" s="334"/>
      <c r="AEJ35" s="334"/>
      <c r="AEK35" s="334"/>
      <c r="AEL35" s="334"/>
      <c r="AEM35" s="334"/>
      <c r="AEN35" s="334"/>
      <c r="AEO35" s="334"/>
      <c r="AEP35" s="334"/>
      <c r="AEQ35" s="334"/>
      <c r="AER35" s="334"/>
      <c r="AES35" s="334"/>
      <c r="AET35" s="334"/>
      <c r="AEU35" s="334"/>
      <c r="AEV35" s="334"/>
      <c r="AEW35" s="334"/>
      <c r="AEX35" s="334"/>
      <c r="AEY35" s="334"/>
      <c r="AEZ35" s="334"/>
      <c r="AFA35" s="334"/>
      <c r="AFB35" s="334"/>
      <c r="AFC35" s="334"/>
      <c r="AFD35" s="334"/>
      <c r="AFE35" s="334"/>
      <c r="AFF35" s="334"/>
      <c r="AFG35" s="334"/>
      <c r="AFH35" s="334"/>
      <c r="AFI35" s="334"/>
      <c r="AFJ35" s="334"/>
      <c r="AFK35" s="334"/>
      <c r="AFL35" s="334"/>
      <c r="AFM35" s="334"/>
      <c r="AFN35" s="334"/>
      <c r="AFO35" s="334"/>
      <c r="AFP35" s="334"/>
      <c r="AFQ35" s="334"/>
      <c r="AFR35" s="334"/>
      <c r="AFS35" s="334"/>
      <c r="AFT35" s="334"/>
      <c r="AFU35" s="334"/>
      <c r="AFV35" s="334"/>
      <c r="AFW35" s="334"/>
      <c r="AFX35" s="334"/>
      <c r="AFY35" s="334"/>
      <c r="AFZ35" s="334"/>
      <c r="AGA35" s="334"/>
      <c r="AGB35" s="334"/>
      <c r="AGC35" s="334"/>
      <c r="AGD35" s="334"/>
      <c r="AGE35" s="334"/>
      <c r="AGF35" s="334"/>
      <c r="AGG35" s="334"/>
      <c r="AGH35" s="334"/>
      <c r="AGI35" s="334"/>
      <c r="AGJ35" s="334"/>
      <c r="AGK35" s="334"/>
      <c r="AGL35" s="334"/>
      <c r="AGM35" s="334"/>
      <c r="AGN35" s="334"/>
      <c r="AGO35" s="334"/>
      <c r="AGP35" s="334"/>
      <c r="AGQ35" s="334"/>
      <c r="AGR35" s="334"/>
      <c r="AGS35" s="334"/>
      <c r="AGT35" s="334"/>
      <c r="AGU35" s="334"/>
      <c r="AGV35" s="334"/>
      <c r="AGW35" s="334"/>
      <c r="AGX35" s="334"/>
      <c r="AGY35" s="334"/>
      <c r="AGZ35" s="334"/>
      <c r="AHA35" s="334"/>
      <c r="AHB35" s="334"/>
      <c r="AHC35" s="334"/>
      <c r="AHD35" s="334"/>
      <c r="AHE35" s="334"/>
      <c r="AHF35" s="334"/>
      <c r="AHG35" s="334"/>
      <c r="AHH35" s="334"/>
      <c r="AHI35" s="334"/>
      <c r="AHJ35" s="334"/>
      <c r="AHK35" s="334"/>
      <c r="AHL35" s="334"/>
      <c r="AHM35" s="334"/>
      <c r="AHN35" s="334"/>
      <c r="AHO35" s="334"/>
      <c r="AHP35" s="334"/>
      <c r="AHQ35" s="334"/>
      <c r="AHR35" s="334"/>
      <c r="AHS35" s="334"/>
      <c r="AHT35" s="334"/>
      <c r="AHU35" s="334"/>
      <c r="AHV35" s="334"/>
      <c r="AHW35" s="334"/>
      <c r="AHX35" s="334"/>
      <c r="AHY35" s="334"/>
      <c r="AHZ35" s="334"/>
      <c r="AIA35" s="334"/>
      <c r="AIB35" s="334"/>
      <c r="AIC35" s="334"/>
      <c r="AID35" s="334"/>
      <c r="AIE35" s="334"/>
      <c r="AIF35" s="334"/>
      <c r="AIG35" s="334"/>
      <c r="AIH35" s="334"/>
      <c r="AII35" s="334"/>
      <c r="AIJ35" s="334"/>
      <c r="AIK35" s="334"/>
      <c r="AIL35" s="334"/>
      <c r="AIM35" s="334"/>
      <c r="AIN35" s="334"/>
      <c r="AIO35" s="334"/>
      <c r="AIP35" s="334"/>
      <c r="AIQ35" s="334"/>
      <c r="AIR35" s="334"/>
      <c r="AIS35" s="334"/>
      <c r="AIT35" s="334"/>
      <c r="AIU35" s="334"/>
      <c r="AIV35" s="334"/>
      <c r="AIW35" s="334"/>
      <c r="AIX35" s="334"/>
      <c r="AIY35" s="334"/>
      <c r="AIZ35" s="334"/>
      <c r="AJA35" s="334"/>
      <c r="AJB35" s="334"/>
      <c r="AJC35" s="334"/>
      <c r="AJD35" s="334"/>
      <c r="AJE35" s="334"/>
      <c r="AJF35" s="334"/>
      <c r="AJG35" s="334"/>
      <c r="AJH35" s="334"/>
      <c r="AJI35" s="334"/>
      <c r="AJJ35" s="334"/>
      <c r="AJK35" s="334"/>
      <c r="AJL35" s="334"/>
      <c r="AJM35" s="334"/>
      <c r="AJN35" s="334"/>
      <c r="AJO35" s="334"/>
      <c r="AJP35" s="334"/>
      <c r="AJQ35" s="334"/>
      <c r="AJR35" s="334"/>
      <c r="AJS35" s="334"/>
      <c r="AJT35" s="334"/>
      <c r="AJU35" s="334"/>
      <c r="AJV35" s="334"/>
      <c r="AJW35" s="334"/>
      <c r="AJX35" s="334"/>
      <c r="AJY35" s="334"/>
      <c r="AJZ35" s="334"/>
      <c r="AKA35" s="334"/>
      <c r="AKB35" s="334"/>
      <c r="AKC35" s="334"/>
      <c r="AKD35" s="334"/>
      <c r="AKE35" s="334"/>
      <c r="AKF35" s="334"/>
      <c r="AKG35" s="334"/>
      <c r="AKH35" s="334"/>
      <c r="AKI35" s="334"/>
      <c r="AKJ35" s="334"/>
      <c r="AKK35" s="334"/>
      <c r="AKL35" s="334"/>
      <c r="AKM35" s="334"/>
      <c r="AKN35" s="334"/>
      <c r="AKO35" s="334"/>
      <c r="AKP35" s="334"/>
      <c r="AKQ35" s="334"/>
      <c r="AKR35" s="334"/>
      <c r="AKS35" s="334"/>
      <c r="AKT35" s="334"/>
      <c r="AKU35" s="334"/>
      <c r="AKV35" s="334"/>
      <c r="AKW35" s="334"/>
      <c r="AKX35" s="334"/>
      <c r="AKY35" s="334"/>
      <c r="AKZ35" s="334"/>
      <c r="ALA35" s="334"/>
      <c r="ALB35" s="334"/>
      <c r="ALC35" s="334"/>
      <c r="ALD35" s="334"/>
      <c r="ALE35" s="334"/>
      <c r="ALF35" s="334"/>
      <c r="ALG35" s="334"/>
      <c r="ALH35" s="334"/>
      <c r="ALI35" s="334"/>
      <c r="ALJ35" s="334"/>
      <c r="ALK35" s="334"/>
      <c r="ALL35" s="334"/>
      <c r="ALM35" s="334"/>
      <c r="ALN35" s="334"/>
      <c r="ALO35" s="334"/>
      <c r="ALP35" s="334"/>
      <c r="ALQ35" s="334"/>
      <c r="ALR35" s="334"/>
      <c r="ALS35" s="334"/>
      <c r="ALT35" s="334"/>
      <c r="ALU35" s="334"/>
      <c r="ALV35" s="334"/>
      <c r="ALW35" s="334"/>
      <c r="ALX35" s="334"/>
      <c r="ALY35" s="334"/>
      <c r="ALZ35" s="334"/>
      <c r="AMA35" s="334"/>
      <c r="AMB35" s="334"/>
      <c r="AMC35" s="334"/>
      <c r="AMD35" s="334"/>
      <c r="AME35" s="334"/>
      <c r="AMF35" s="334"/>
      <c r="AMG35" s="334"/>
      <c r="AMH35" s="334"/>
      <c r="AMI35" s="334"/>
      <c r="AMJ35" s="334"/>
      <c r="AMK35" s="334"/>
      <c r="AML35" s="334"/>
      <c r="AMM35" s="334"/>
      <c r="AMN35" s="334"/>
      <c r="AMO35" s="334"/>
      <c r="AMP35" s="334"/>
      <c r="AMQ35" s="334"/>
      <c r="AMR35" s="334"/>
      <c r="AMS35" s="334"/>
      <c r="AMT35" s="334"/>
      <c r="AMU35" s="334"/>
      <c r="AMV35" s="334"/>
      <c r="AMW35" s="334"/>
      <c r="AMX35" s="334"/>
      <c r="AMY35" s="334"/>
      <c r="AMZ35" s="334"/>
    </row>
    <row r="36" spans="1:1040" s="333" customFormat="1" ht="13.2" x14ac:dyDescent="0.25">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5"/>
      <c r="AA36" s="335"/>
      <c r="AB36" s="335"/>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c r="CO36" s="334"/>
      <c r="CP36" s="334"/>
      <c r="CQ36" s="334"/>
      <c r="CR36" s="334"/>
      <c r="CS36" s="334"/>
      <c r="CT36" s="334"/>
      <c r="CU36" s="334"/>
      <c r="CV36" s="334"/>
      <c r="CW36" s="334"/>
      <c r="CX36" s="334"/>
      <c r="CY36" s="334"/>
      <c r="CZ36" s="334"/>
      <c r="DA36" s="334"/>
      <c r="DB36" s="334"/>
      <c r="DC36" s="334"/>
      <c r="DD36" s="334"/>
      <c r="DE36" s="334"/>
      <c r="DF36" s="334"/>
      <c r="DG36" s="334"/>
      <c r="DH36" s="334"/>
      <c r="DI36" s="334"/>
      <c r="DJ36" s="334"/>
      <c r="DK36" s="334"/>
      <c r="DL36" s="334"/>
      <c r="DM36" s="334"/>
      <c r="DN36" s="334"/>
      <c r="DO36" s="334"/>
      <c r="DP36" s="334"/>
      <c r="DQ36" s="334"/>
      <c r="DR36" s="334"/>
      <c r="DS36" s="334"/>
      <c r="DT36" s="334"/>
      <c r="DU36" s="334"/>
      <c r="DV36" s="334"/>
      <c r="DW36" s="334"/>
      <c r="DX36" s="334"/>
      <c r="DY36" s="334"/>
      <c r="DZ36" s="334"/>
      <c r="EA36" s="334"/>
      <c r="EB36" s="334"/>
      <c r="EC36" s="334"/>
      <c r="ED36" s="334"/>
      <c r="EE36" s="334"/>
      <c r="EF36" s="334"/>
      <c r="EG36" s="334"/>
      <c r="EH36" s="334"/>
      <c r="EI36" s="334"/>
      <c r="EJ36" s="334"/>
      <c r="EK36" s="334"/>
      <c r="EL36" s="334"/>
      <c r="EM36" s="334"/>
      <c r="EN36" s="334"/>
      <c r="EO36" s="334"/>
      <c r="EP36" s="334"/>
      <c r="EQ36" s="334"/>
      <c r="ER36" s="334"/>
      <c r="ES36" s="334"/>
      <c r="ET36" s="334"/>
      <c r="EU36" s="334"/>
      <c r="EV36" s="334"/>
      <c r="EW36" s="334"/>
      <c r="EX36" s="334"/>
      <c r="EY36" s="334"/>
      <c r="EZ36" s="334"/>
      <c r="FA36" s="334"/>
      <c r="FB36" s="334"/>
      <c r="FC36" s="334"/>
      <c r="FD36" s="334"/>
      <c r="FE36" s="334"/>
      <c r="FF36" s="334"/>
      <c r="FG36" s="334"/>
      <c r="FH36" s="334"/>
      <c r="FI36" s="334"/>
      <c r="FJ36" s="334"/>
      <c r="FK36" s="334"/>
      <c r="FL36" s="334"/>
      <c r="FM36" s="334"/>
      <c r="FN36" s="334"/>
      <c r="FO36" s="334"/>
      <c r="FP36" s="334"/>
      <c r="FQ36" s="334"/>
      <c r="FR36" s="334"/>
      <c r="FS36" s="334"/>
      <c r="FT36" s="334"/>
      <c r="FU36" s="334"/>
      <c r="FV36" s="334"/>
      <c r="FW36" s="334"/>
      <c r="FX36" s="334"/>
      <c r="FY36" s="334"/>
      <c r="FZ36" s="334"/>
      <c r="GA36" s="334"/>
      <c r="GB36" s="334"/>
      <c r="GC36" s="334"/>
      <c r="GD36" s="334"/>
      <c r="GE36" s="334"/>
      <c r="GF36" s="334"/>
      <c r="GG36" s="334"/>
      <c r="GH36" s="334"/>
      <c r="GI36" s="334"/>
      <c r="GJ36" s="334"/>
      <c r="GK36" s="334"/>
      <c r="GL36" s="334"/>
      <c r="GM36" s="334"/>
      <c r="GN36" s="334"/>
      <c r="GO36" s="334"/>
      <c r="GP36" s="334"/>
      <c r="GQ36" s="334"/>
      <c r="GR36" s="334"/>
      <c r="GS36" s="334"/>
      <c r="GT36" s="334"/>
      <c r="GU36" s="334"/>
      <c r="GV36" s="334"/>
      <c r="GW36" s="334"/>
      <c r="GX36" s="334"/>
      <c r="GY36" s="334"/>
      <c r="GZ36" s="334"/>
      <c r="HA36" s="334"/>
      <c r="HB36" s="334"/>
      <c r="HC36" s="334"/>
      <c r="HD36" s="334"/>
      <c r="HE36" s="334"/>
      <c r="HF36" s="334"/>
      <c r="HG36" s="334"/>
      <c r="HH36" s="334"/>
      <c r="HI36" s="334"/>
      <c r="HJ36" s="334"/>
      <c r="HK36" s="334"/>
      <c r="HL36" s="334"/>
      <c r="HM36" s="334"/>
      <c r="HN36" s="334"/>
      <c r="HO36" s="334"/>
      <c r="HP36" s="334"/>
      <c r="HQ36" s="334"/>
      <c r="HR36" s="334"/>
      <c r="HS36" s="334"/>
      <c r="HT36" s="334"/>
      <c r="HU36" s="334"/>
      <c r="HV36" s="334"/>
      <c r="HW36" s="334"/>
      <c r="HX36" s="334"/>
      <c r="HY36" s="334"/>
      <c r="HZ36" s="334"/>
      <c r="IA36" s="334"/>
      <c r="IB36" s="334"/>
      <c r="IC36" s="334"/>
      <c r="ID36" s="334"/>
      <c r="IE36" s="334"/>
      <c r="IF36" s="334"/>
      <c r="IG36" s="334"/>
      <c r="IH36" s="334"/>
      <c r="II36" s="334"/>
      <c r="IJ36" s="334"/>
      <c r="IK36" s="334"/>
      <c r="IL36" s="334"/>
      <c r="IM36" s="334"/>
      <c r="IN36" s="334"/>
      <c r="IO36" s="334"/>
      <c r="IP36" s="334"/>
      <c r="IQ36" s="334"/>
      <c r="IR36" s="334"/>
      <c r="IS36" s="334"/>
      <c r="IT36" s="334"/>
      <c r="IU36" s="334"/>
      <c r="IV36" s="334"/>
      <c r="IW36" s="334"/>
      <c r="IX36" s="334"/>
      <c r="IY36" s="334"/>
      <c r="IZ36" s="334"/>
      <c r="JA36" s="334"/>
      <c r="JB36" s="334"/>
      <c r="JC36" s="334"/>
      <c r="JD36" s="334"/>
      <c r="JE36" s="334"/>
      <c r="JF36" s="334"/>
      <c r="JG36" s="334"/>
      <c r="JH36" s="334"/>
      <c r="JI36" s="334"/>
      <c r="JJ36" s="334"/>
      <c r="JK36" s="334"/>
      <c r="JL36" s="334"/>
      <c r="JM36" s="334"/>
      <c r="JN36" s="334"/>
      <c r="JO36" s="334"/>
      <c r="JP36" s="334"/>
      <c r="JQ36" s="334"/>
      <c r="JR36" s="334"/>
      <c r="JS36" s="334"/>
      <c r="JT36" s="334"/>
      <c r="JU36" s="334"/>
      <c r="JV36" s="334"/>
      <c r="JW36" s="334"/>
      <c r="JX36" s="334"/>
      <c r="JY36" s="334"/>
      <c r="JZ36" s="334"/>
      <c r="KA36" s="334"/>
      <c r="KB36" s="334"/>
      <c r="KC36" s="334"/>
      <c r="KD36" s="334"/>
      <c r="KE36" s="334"/>
      <c r="KF36" s="334"/>
      <c r="KG36" s="334"/>
      <c r="KH36" s="334"/>
      <c r="KI36" s="334"/>
      <c r="KJ36" s="334"/>
      <c r="KK36" s="334"/>
      <c r="KL36" s="334"/>
      <c r="KM36" s="334"/>
      <c r="KN36" s="334"/>
      <c r="KO36" s="334"/>
      <c r="KP36" s="334"/>
      <c r="KQ36" s="334"/>
      <c r="KR36" s="334"/>
      <c r="KS36" s="334"/>
      <c r="KT36" s="334"/>
      <c r="KU36" s="334"/>
      <c r="KV36" s="334"/>
      <c r="KW36" s="334"/>
      <c r="KX36" s="334"/>
      <c r="KY36" s="334"/>
      <c r="KZ36" s="334"/>
      <c r="LA36" s="334"/>
      <c r="LB36" s="334"/>
      <c r="LC36" s="334"/>
      <c r="LD36" s="334"/>
      <c r="LE36" s="334"/>
      <c r="LF36" s="334"/>
      <c r="LG36" s="334"/>
      <c r="LH36" s="334"/>
      <c r="LI36" s="334"/>
      <c r="LJ36" s="334"/>
      <c r="LK36" s="334"/>
      <c r="LL36" s="334"/>
      <c r="LM36" s="334"/>
      <c r="LN36" s="334"/>
      <c r="LO36" s="334"/>
      <c r="LP36" s="334"/>
      <c r="LQ36" s="334"/>
      <c r="LR36" s="334"/>
      <c r="LS36" s="334"/>
      <c r="LT36" s="334"/>
      <c r="LU36" s="334"/>
      <c r="LV36" s="334"/>
      <c r="LW36" s="334"/>
      <c r="LX36" s="334"/>
      <c r="LY36" s="334"/>
      <c r="LZ36" s="334"/>
      <c r="MA36" s="334"/>
      <c r="MB36" s="334"/>
      <c r="MC36" s="334"/>
      <c r="MD36" s="334"/>
      <c r="ME36" s="334"/>
      <c r="MF36" s="334"/>
      <c r="MG36" s="334"/>
      <c r="MH36" s="334"/>
      <c r="MI36" s="334"/>
      <c r="MJ36" s="334"/>
      <c r="MK36" s="334"/>
      <c r="ML36" s="334"/>
      <c r="MM36" s="334"/>
      <c r="MN36" s="334"/>
      <c r="MO36" s="334"/>
      <c r="MP36" s="334"/>
      <c r="MQ36" s="334"/>
      <c r="MR36" s="334"/>
      <c r="MS36" s="334"/>
      <c r="MT36" s="334"/>
      <c r="MU36" s="334"/>
      <c r="MV36" s="334"/>
      <c r="MW36" s="334"/>
      <c r="MX36" s="334"/>
      <c r="MY36" s="334"/>
      <c r="MZ36" s="334"/>
      <c r="NA36" s="334"/>
      <c r="NB36" s="334"/>
      <c r="NC36" s="334"/>
      <c r="ND36" s="334"/>
      <c r="NE36" s="334"/>
      <c r="NF36" s="334"/>
      <c r="NG36" s="334"/>
      <c r="NH36" s="334"/>
      <c r="NI36" s="334"/>
      <c r="NJ36" s="334"/>
      <c r="NK36" s="334"/>
      <c r="NL36" s="334"/>
      <c r="NM36" s="334"/>
      <c r="NN36" s="334"/>
      <c r="NO36" s="334"/>
      <c r="NP36" s="334"/>
      <c r="NQ36" s="334"/>
      <c r="NR36" s="334"/>
      <c r="NS36" s="334"/>
      <c r="NT36" s="334"/>
      <c r="NU36" s="334"/>
      <c r="NV36" s="334"/>
      <c r="NW36" s="334"/>
      <c r="NX36" s="334"/>
      <c r="NY36" s="334"/>
      <c r="NZ36" s="334"/>
      <c r="OA36" s="334"/>
      <c r="OB36" s="334"/>
      <c r="OC36" s="334"/>
      <c r="OD36" s="334"/>
      <c r="OE36" s="334"/>
      <c r="OF36" s="334"/>
      <c r="OG36" s="334"/>
      <c r="OH36" s="334"/>
      <c r="OI36" s="334"/>
      <c r="OJ36" s="334"/>
      <c r="OK36" s="334"/>
      <c r="OL36" s="334"/>
      <c r="OM36" s="334"/>
      <c r="ON36" s="334"/>
      <c r="OO36" s="334"/>
      <c r="OP36" s="334"/>
      <c r="OQ36" s="334"/>
      <c r="OR36" s="334"/>
      <c r="OS36" s="334"/>
      <c r="OT36" s="334"/>
      <c r="OU36" s="334"/>
      <c r="OV36" s="334"/>
      <c r="OW36" s="334"/>
      <c r="OX36" s="334"/>
      <c r="OY36" s="334"/>
      <c r="OZ36" s="334"/>
      <c r="PA36" s="334"/>
      <c r="PB36" s="334"/>
      <c r="PC36" s="334"/>
      <c r="PD36" s="334"/>
      <c r="PE36" s="334"/>
      <c r="PF36" s="334"/>
      <c r="PG36" s="334"/>
      <c r="PH36" s="334"/>
      <c r="PI36" s="334"/>
      <c r="PJ36" s="334"/>
      <c r="PK36" s="334"/>
      <c r="PL36" s="334"/>
      <c r="PM36" s="334"/>
      <c r="PN36" s="334"/>
      <c r="PO36" s="334"/>
      <c r="PP36" s="334"/>
      <c r="PQ36" s="334"/>
      <c r="PR36" s="334"/>
      <c r="PS36" s="334"/>
      <c r="PT36" s="334"/>
      <c r="PU36" s="334"/>
      <c r="PV36" s="334"/>
      <c r="PW36" s="334"/>
      <c r="PX36" s="334"/>
      <c r="PY36" s="334"/>
      <c r="PZ36" s="334"/>
      <c r="QA36" s="334"/>
      <c r="QB36" s="334"/>
      <c r="QC36" s="334"/>
      <c r="QD36" s="334"/>
      <c r="QE36" s="334"/>
      <c r="QF36" s="334"/>
      <c r="QG36" s="334"/>
      <c r="QH36" s="334"/>
      <c r="QI36" s="334"/>
      <c r="QJ36" s="334"/>
      <c r="QK36" s="334"/>
      <c r="QL36" s="334"/>
      <c r="QM36" s="334"/>
      <c r="QN36" s="334"/>
      <c r="QO36" s="334"/>
      <c r="QP36" s="334"/>
      <c r="QQ36" s="334"/>
      <c r="QR36" s="334"/>
      <c r="QS36" s="334"/>
      <c r="QT36" s="334"/>
      <c r="QU36" s="334"/>
      <c r="QV36" s="334"/>
      <c r="QW36" s="334"/>
      <c r="QX36" s="334"/>
      <c r="QY36" s="334"/>
      <c r="QZ36" s="334"/>
      <c r="RA36" s="334"/>
      <c r="RB36" s="334"/>
      <c r="RC36" s="334"/>
      <c r="RD36" s="334"/>
      <c r="RE36" s="334"/>
      <c r="RF36" s="334"/>
      <c r="RG36" s="334"/>
      <c r="RH36" s="334"/>
      <c r="RI36" s="334"/>
      <c r="RJ36" s="334"/>
      <c r="RK36" s="334"/>
      <c r="RL36" s="334"/>
      <c r="RM36" s="334"/>
      <c r="RN36" s="334"/>
      <c r="RO36" s="334"/>
      <c r="RP36" s="334"/>
      <c r="RQ36" s="334"/>
      <c r="RR36" s="334"/>
      <c r="RS36" s="334"/>
      <c r="RT36" s="334"/>
      <c r="RU36" s="334"/>
      <c r="RV36" s="334"/>
      <c r="RW36" s="334"/>
      <c r="RX36" s="334"/>
      <c r="RY36" s="334"/>
      <c r="RZ36" s="334"/>
      <c r="SA36" s="334"/>
      <c r="SB36" s="334"/>
      <c r="SC36" s="334"/>
      <c r="SD36" s="334"/>
      <c r="SE36" s="334"/>
      <c r="SF36" s="334"/>
      <c r="SG36" s="334"/>
      <c r="SH36" s="334"/>
      <c r="SI36" s="334"/>
      <c r="SJ36" s="334"/>
      <c r="SK36" s="334"/>
      <c r="SL36" s="334"/>
      <c r="SM36" s="334"/>
      <c r="SN36" s="334"/>
      <c r="SO36" s="334"/>
      <c r="SP36" s="334"/>
      <c r="SQ36" s="334"/>
      <c r="SR36" s="334"/>
      <c r="SS36" s="334"/>
      <c r="ST36" s="334"/>
      <c r="SU36" s="334"/>
      <c r="SV36" s="334"/>
      <c r="SW36" s="334"/>
      <c r="SX36" s="334"/>
      <c r="SY36" s="334"/>
      <c r="SZ36" s="334"/>
      <c r="TA36" s="334"/>
      <c r="TB36" s="334"/>
      <c r="TC36" s="334"/>
      <c r="TD36" s="334"/>
      <c r="TE36" s="334"/>
      <c r="TF36" s="334"/>
      <c r="TG36" s="334"/>
      <c r="TH36" s="334"/>
      <c r="TI36" s="334"/>
      <c r="TJ36" s="334"/>
      <c r="TK36" s="334"/>
      <c r="TL36" s="334"/>
      <c r="TM36" s="334"/>
      <c r="TN36" s="334"/>
      <c r="TO36" s="334"/>
      <c r="TP36" s="334"/>
      <c r="TQ36" s="334"/>
      <c r="TR36" s="334"/>
      <c r="TS36" s="334"/>
      <c r="TT36" s="334"/>
      <c r="TU36" s="334"/>
      <c r="TV36" s="334"/>
      <c r="TW36" s="334"/>
      <c r="TX36" s="334"/>
      <c r="TY36" s="334"/>
      <c r="TZ36" s="334"/>
      <c r="UA36" s="334"/>
      <c r="UB36" s="334"/>
      <c r="UC36" s="334"/>
      <c r="UD36" s="334"/>
      <c r="UE36" s="334"/>
      <c r="UF36" s="334"/>
      <c r="UG36" s="334"/>
      <c r="UH36" s="334"/>
      <c r="UI36" s="334"/>
      <c r="UJ36" s="334"/>
      <c r="UK36" s="334"/>
      <c r="UL36" s="334"/>
      <c r="UM36" s="334"/>
      <c r="UN36" s="334"/>
      <c r="UO36" s="334"/>
      <c r="UP36" s="334"/>
      <c r="UQ36" s="334"/>
      <c r="UR36" s="334"/>
      <c r="US36" s="334"/>
      <c r="UT36" s="334"/>
      <c r="UU36" s="334"/>
      <c r="UV36" s="334"/>
      <c r="UW36" s="334"/>
      <c r="UX36" s="334"/>
      <c r="UY36" s="334"/>
      <c r="UZ36" s="334"/>
      <c r="VA36" s="334"/>
      <c r="VB36" s="334"/>
      <c r="VC36" s="334"/>
      <c r="VD36" s="334"/>
      <c r="VE36" s="334"/>
      <c r="VF36" s="334"/>
      <c r="VG36" s="334"/>
      <c r="VH36" s="334"/>
      <c r="VI36" s="334"/>
      <c r="VJ36" s="334"/>
      <c r="VK36" s="334"/>
      <c r="VL36" s="334"/>
      <c r="VM36" s="334"/>
      <c r="VN36" s="334"/>
      <c r="VO36" s="334"/>
      <c r="VP36" s="334"/>
      <c r="VQ36" s="334"/>
      <c r="VR36" s="334"/>
      <c r="VS36" s="334"/>
      <c r="VT36" s="334"/>
      <c r="VU36" s="334"/>
      <c r="VV36" s="334"/>
      <c r="VW36" s="334"/>
      <c r="VX36" s="334"/>
      <c r="VY36" s="334"/>
      <c r="VZ36" s="334"/>
      <c r="WA36" s="334"/>
      <c r="WB36" s="334"/>
      <c r="WC36" s="334"/>
      <c r="WD36" s="334"/>
      <c r="WE36" s="334"/>
      <c r="WF36" s="334"/>
      <c r="WG36" s="334"/>
      <c r="WH36" s="334"/>
      <c r="WI36" s="334"/>
      <c r="WJ36" s="334"/>
      <c r="WK36" s="334"/>
      <c r="WL36" s="334"/>
      <c r="WM36" s="334"/>
      <c r="WN36" s="334"/>
      <c r="WO36" s="334"/>
      <c r="WP36" s="334"/>
      <c r="WQ36" s="334"/>
      <c r="WR36" s="334"/>
      <c r="WS36" s="334"/>
      <c r="WT36" s="334"/>
      <c r="WU36" s="334"/>
      <c r="WV36" s="334"/>
      <c r="WW36" s="334"/>
      <c r="WX36" s="334"/>
      <c r="WY36" s="334"/>
      <c r="WZ36" s="334"/>
      <c r="XA36" s="334"/>
      <c r="XB36" s="334"/>
      <c r="XC36" s="334"/>
      <c r="XD36" s="334"/>
      <c r="XE36" s="334"/>
      <c r="XF36" s="334"/>
      <c r="XG36" s="334"/>
      <c r="XH36" s="334"/>
      <c r="XI36" s="334"/>
      <c r="XJ36" s="334"/>
      <c r="XK36" s="334"/>
      <c r="XL36" s="334"/>
      <c r="XM36" s="334"/>
      <c r="XN36" s="334"/>
      <c r="XO36" s="334"/>
      <c r="XP36" s="334"/>
      <c r="XQ36" s="334"/>
      <c r="XR36" s="334"/>
      <c r="XS36" s="334"/>
      <c r="XT36" s="334"/>
      <c r="XU36" s="334"/>
      <c r="XV36" s="334"/>
      <c r="XW36" s="334"/>
      <c r="XX36" s="334"/>
      <c r="XY36" s="334"/>
      <c r="XZ36" s="334"/>
      <c r="YA36" s="334"/>
      <c r="YB36" s="334"/>
      <c r="YC36" s="334"/>
      <c r="YD36" s="334"/>
      <c r="YE36" s="334"/>
      <c r="YF36" s="334"/>
      <c r="YG36" s="334"/>
      <c r="YH36" s="334"/>
      <c r="YI36" s="334"/>
      <c r="YJ36" s="334"/>
      <c r="YK36" s="334"/>
      <c r="YL36" s="334"/>
      <c r="YM36" s="334"/>
      <c r="YN36" s="334"/>
      <c r="YO36" s="334"/>
      <c r="YP36" s="334"/>
      <c r="YQ36" s="334"/>
      <c r="YR36" s="334"/>
      <c r="YS36" s="334"/>
      <c r="YT36" s="334"/>
      <c r="YU36" s="334"/>
      <c r="YV36" s="334"/>
      <c r="YW36" s="334"/>
      <c r="YX36" s="334"/>
      <c r="YY36" s="334"/>
      <c r="YZ36" s="334"/>
      <c r="ZA36" s="334"/>
      <c r="ZB36" s="334"/>
      <c r="ZC36" s="334"/>
      <c r="ZD36" s="334"/>
      <c r="ZE36" s="334"/>
      <c r="ZF36" s="334"/>
      <c r="ZG36" s="334"/>
      <c r="ZH36" s="334"/>
      <c r="ZI36" s="334"/>
      <c r="ZJ36" s="334"/>
      <c r="ZK36" s="334"/>
      <c r="ZL36" s="334"/>
      <c r="ZM36" s="334"/>
      <c r="ZN36" s="334"/>
      <c r="ZO36" s="334"/>
      <c r="ZP36" s="334"/>
      <c r="ZQ36" s="334"/>
      <c r="ZR36" s="334"/>
      <c r="ZS36" s="334"/>
      <c r="ZT36" s="334"/>
      <c r="ZU36" s="334"/>
      <c r="ZV36" s="334"/>
      <c r="ZW36" s="334"/>
      <c r="ZX36" s="334"/>
      <c r="ZY36" s="334"/>
      <c r="ZZ36" s="334"/>
      <c r="AAA36" s="334"/>
      <c r="AAB36" s="334"/>
      <c r="AAC36" s="334"/>
      <c r="AAD36" s="334"/>
      <c r="AAE36" s="334"/>
      <c r="AAF36" s="334"/>
      <c r="AAG36" s="334"/>
      <c r="AAH36" s="334"/>
      <c r="AAI36" s="334"/>
      <c r="AAJ36" s="334"/>
      <c r="AAK36" s="334"/>
      <c r="AAL36" s="334"/>
      <c r="AAM36" s="334"/>
      <c r="AAN36" s="334"/>
      <c r="AAO36" s="334"/>
      <c r="AAP36" s="334"/>
      <c r="AAQ36" s="334"/>
      <c r="AAR36" s="334"/>
      <c r="AAS36" s="334"/>
      <c r="AAT36" s="334"/>
      <c r="AAU36" s="334"/>
      <c r="AAV36" s="334"/>
      <c r="AAW36" s="334"/>
      <c r="AAX36" s="334"/>
      <c r="AAY36" s="334"/>
      <c r="AAZ36" s="334"/>
      <c r="ABA36" s="334"/>
      <c r="ABB36" s="334"/>
      <c r="ABC36" s="334"/>
      <c r="ABD36" s="334"/>
      <c r="ABE36" s="334"/>
      <c r="ABF36" s="334"/>
      <c r="ABG36" s="334"/>
      <c r="ABH36" s="334"/>
      <c r="ABI36" s="334"/>
      <c r="ABJ36" s="334"/>
      <c r="ABK36" s="334"/>
      <c r="ABL36" s="334"/>
      <c r="ABM36" s="334"/>
      <c r="ABN36" s="334"/>
      <c r="ABO36" s="334"/>
      <c r="ABP36" s="334"/>
      <c r="ABQ36" s="334"/>
      <c r="ABR36" s="334"/>
      <c r="ABS36" s="334"/>
      <c r="ABT36" s="334"/>
      <c r="ABU36" s="334"/>
      <c r="ABV36" s="334"/>
      <c r="ABW36" s="334"/>
      <c r="ABX36" s="334"/>
      <c r="ABY36" s="334"/>
      <c r="ABZ36" s="334"/>
      <c r="ACA36" s="334"/>
      <c r="ACB36" s="334"/>
      <c r="ACC36" s="334"/>
      <c r="ACD36" s="334"/>
      <c r="ACE36" s="334"/>
      <c r="ACF36" s="334"/>
      <c r="ACG36" s="334"/>
      <c r="ACH36" s="334"/>
      <c r="ACI36" s="334"/>
      <c r="ACJ36" s="334"/>
      <c r="ACK36" s="334"/>
      <c r="ACL36" s="334"/>
      <c r="ACM36" s="334"/>
      <c r="ACN36" s="334"/>
      <c r="ACO36" s="334"/>
      <c r="ACP36" s="334"/>
      <c r="ACQ36" s="334"/>
      <c r="ACR36" s="334"/>
      <c r="ACS36" s="334"/>
      <c r="ACT36" s="334"/>
      <c r="ACU36" s="334"/>
      <c r="ACV36" s="334"/>
      <c r="ACW36" s="334"/>
      <c r="ACX36" s="334"/>
      <c r="ACY36" s="334"/>
      <c r="ACZ36" s="334"/>
      <c r="ADA36" s="334"/>
      <c r="ADB36" s="334"/>
      <c r="ADC36" s="334"/>
      <c r="ADD36" s="334"/>
      <c r="ADE36" s="334"/>
      <c r="ADF36" s="334"/>
      <c r="ADG36" s="334"/>
      <c r="ADH36" s="334"/>
      <c r="ADI36" s="334"/>
      <c r="ADJ36" s="334"/>
      <c r="ADK36" s="334"/>
      <c r="ADL36" s="334"/>
      <c r="ADM36" s="334"/>
      <c r="ADN36" s="334"/>
      <c r="ADO36" s="334"/>
      <c r="ADP36" s="334"/>
      <c r="ADQ36" s="334"/>
      <c r="ADR36" s="334"/>
      <c r="ADS36" s="334"/>
      <c r="ADT36" s="334"/>
      <c r="ADU36" s="334"/>
      <c r="ADV36" s="334"/>
      <c r="ADW36" s="334"/>
      <c r="ADX36" s="334"/>
      <c r="ADY36" s="334"/>
      <c r="ADZ36" s="334"/>
      <c r="AEA36" s="334"/>
      <c r="AEB36" s="334"/>
      <c r="AEC36" s="334"/>
      <c r="AED36" s="334"/>
      <c r="AEE36" s="334"/>
      <c r="AEF36" s="334"/>
      <c r="AEG36" s="334"/>
      <c r="AEH36" s="334"/>
      <c r="AEI36" s="334"/>
      <c r="AEJ36" s="334"/>
      <c r="AEK36" s="334"/>
      <c r="AEL36" s="334"/>
      <c r="AEM36" s="334"/>
      <c r="AEN36" s="334"/>
      <c r="AEO36" s="334"/>
      <c r="AEP36" s="334"/>
      <c r="AEQ36" s="334"/>
      <c r="AER36" s="334"/>
      <c r="AES36" s="334"/>
      <c r="AET36" s="334"/>
      <c r="AEU36" s="334"/>
      <c r="AEV36" s="334"/>
      <c r="AEW36" s="334"/>
      <c r="AEX36" s="334"/>
      <c r="AEY36" s="334"/>
      <c r="AEZ36" s="334"/>
      <c r="AFA36" s="334"/>
      <c r="AFB36" s="334"/>
      <c r="AFC36" s="334"/>
      <c r="AFD36" s="334"/>
      <c r="AFE36" s="334"/>
      <c r="AFF36" s="334"/>
      <c r="AFG36" s="334"/>
      <c r="AFH36" s="334"/>
      <c r="AFI36" s="334"/>
      <c r="AFJ36" s="334"/>
      <c r="AFK36" s="334"/>
      <c r="AFL36" s="334"/>
      <c r="AFM36" s="334"/>
      <c r="AFN36" s="334"/>
      <c r="AFO36" s="334"/>
      <c r="AFP36" s="334"/>
      <c r="AFQ36" s="334"/>
      <c r="AFR36" s="334"/>
      <c r="AFS36" s="334"/>
      <c r="AFT36" s="334"/>
      <c r="AFU36" s="334"/>
      <c r="AFV36" s="334"/>
      <c r="AFW36" s="334"/>
      <c r="AFX36" s="334"/>
      <c r="AFY36" s="334"/>
      <c r="AFZ36" s="334"/>
      <c r="AGA36" s="334"/>
      <c r="AGB36" s="334"/>
      <c r="AGC36" s="334"/>
      <c r="AGD36" s="334"/>
      <c r="AGE36" s="334"/>
      <c r="AGF36" s="334"/>
      <c r="AGG36" s="334"/>
      <c r="AGH36" s="334"/>
      <c r="AGI36" s="334"/>
      <c r="AGJ36" s="334"/>
      <c r="AGK36" s="334"/>
      <c r="AGL36" s="334"/>
      <c r="AGM36" s="334"/>
      <c r="AGN36" s="334"/>
      <c r="AGO36" s="334"/>
      <c r="AGP36" s="334"/>
      <c r="AGQ36" s="334"/>
      <c r="AGR36" s="334"/>
      <c r="AGS36" s="334"/>
      <c r="AGT36" s="334"/>
      <c r="AGU36" s="334"/>
      <c r="AGV36" s="334"/>
      <c r="AGW36" s="334"/>
      <c r="AGX36" s="334"/>
      <c r="AGY36" s="334"/>
      <c r="AGZ36" s="334"/>
      <c r="AHA36" s="334"/>
      <c r="AHB36" s="334"/>
      <c r="AHC36" s="334"/>
      <c r="AHD36" s="334"/>
      <c r="AHE36" s="334"/>
      <c r="AHF36" s="334"/>
      <c r="AHG36" s="334"/>
      <c r="AHH36" s="334"/>
      <c r="AHI36" s="334"/>
      <c r="AHJ36" s="334"/>
      <c r="AHK36" s="334"/>
      <c r="AHL36" s="334"/>
      <c r="AHM36" s="334"/>
      <c r="AHN36" s="334"/>
      <c r="AHO36" s="334"/>
      <c r="AHP36" s="334"/>
      <c r="AHQ36" s="334"/>
      <c r="AHR36" s="334"/>
      <c r="AHS36" s="334"/>
      <c r="AHT36" s="334"/>
      <c r="AHU36" s="334"/>
      <c r="AHV36" s="334"/>
      <c r="AHW36" s="334"/>
      <c r="AHX36" s="334"/>
      <c r="AHY36" s="334"/>
      <c r="AHZ36" s="334"/>
      <c r="AIA36" s="334"/>
      <c r="AIB36" s="334"/>
      <c r="AIC36" s="334"/>
      <c r="AID36" s="334"/>
      <c r="AIE36" s="334"/>
      <c r="AIF36" s="334"/>
      <c r="AIG36" s="334"/>
      <c r="AIH36" s="334"/>
      <c r="AII36" s="334"/>
      <c r="AIJ36" s="334"/>
      <c r="AIK36" s="334"/>
      <c r="AIL36" s="334"/>
      <c r="AIM36" s="334"/>
      <c r="AIN36" s="334"/>
      <c r="AIO36" s="334"/>
      <c r="AIP36" s="334"/>
      <c r="AIQ36" s="334"/>
      <c r="AIR36" s="334"/>
      <c r="AIS36" s="334"/>
      <c r="AIT36" s="334"/>
      <c r="AIU36" s="334"/>
      <c r="AIV36" s="334"/>
      <c r="AIW36" s="334"/>
      <c r="AIX36" s="334"/>
      <c r="AIY36" s="334"/>
      <c r="AIZ36" s="334"/>
      <c r="AJA36" s="334"/>
      <c r="AJB36" s="334"/>
      <c r="AJC36" s="334"/>
      <c r="AJD36" s="334"/>
      <c r="AJE36" s="334"/>
      <c r="AJF36" s="334"/>
      <c r="AJG36" s="334"/>
      <c r="AJH36" s="334"/>
      <c r="AJI36" s="334"/>
      <c r="AJJ36" s="334"/>
      <c r="AJK36" s="334"/>
      <c r="AJL36" s="334"/>
      <c r="AJM36" s="334"/>
      <c r="AJN36" s="334"/>
      <c r="AJO36" s="334"/>
      <c r="AJP36" s="334"/>
      <c r="AJQ36" s="334"/>
      <c r="AJR36" s="334"/>
      <c r="AJS36" s="334"/>
      <c r="AJT36" s="334"/>
      <c r="AJU36" s="334"/>
      <c r="AJV36" s="334"/>
      <c r="AJW36" s="334"/>
      <c r="AJX36" s="334"/>
      <c r="AJY36" s="334"/>
      <c r="AJZ36" s="334"/>
      <c r="AKA36" s="334"/>
      <c r="AKB36" s="334"/>
      <c r="AKC36" s="334"/>
      <c r="AKD36" s="334"/>
      <c r="AKE36" s="334"/>
      <c r="AKF36" s="334"/>
      <c r="AKG36" s="334"/>
      <c r="AKH36" s="334"/>
      <c r="AKI36" s="334"/>
      <c r="AKJ36" s="334"/>
      <c r="AKK36" s="334"/>
      <c r="AKL36" s="334"/>
      <c r="AKM36" s="334"/>
      <c r="AKN36" s="334"/>
      <c r="AKO36" s="334"/>
      <c r="AKP36" s="334"/>
      <c r="AKQ36" s="334"/>
      <c r="AKR36" s="334"/>
      <c r="AKS36" s="334"/>
      <c r="AKT36" s="334"/>
      <c r="AKU36" s="334"/>
      <c r="AKV36" s="334"/>
      <c r="AKW36" s="334"/>
      <c r="AKX36" s="334"/>
      <c r="AKY36" s="334"/>
      <c r="AKZ36" s="334"/>
      <c r="ALA36" s="334"/>
      <c r="ALB36" s="334"/>
      <c r="ALC36" s="334"/>
      <c r="ALD36" s="334"/>
      <c r="ALE36" s="334"/>
      <c r="ALF36" s="334"/>
      <c r="ALG36" s="334"/>
      <c r="ALH36" s="334"/>
      <c r="ALI36" s="334"/>
      <c r="ALJ36" s="334"/>
      <c r="ALK36" s="334"/>
      <c r="ALL36" s="334"/>
      <c r="ALM36" s="334"/>
      <c r="ALN36" s="334"/>
      <c r="ALO36" s="334"/>
      <c r="ALP36" s="334"/>
      <c r="ALQ36" s="334"/>
      <c r="ALR36" s="334"/>
      <c r="ALS36" s="334"/>
      <c r="ALT36" s="334"/>
      <c r="ALU36" s="334"/>
      <c r="ALV36" s="334"/>
      <c r="ALW36" s="334"/>
      <c r="ALX36" s="334"/>
      <c r="ALY36" s="334"/>
      <c r="ALZ36" s="334"/>
      <c r="AMA36" s="334"/>
      <c r="AMB36" s="334"/>
      <c r="AMC36" s="334"/>
      <c r="AMD36" s="334"/>
      <c r="AME36" s="334"/>
      <c r="AMF36" s="334"/>
      <c r="AMG36" s="334"/>
      <c r="AMH36" s="334"/>
      <c r="AMI36" s="334"/>
      <c r="AMJ36" s="334"/>
      <c r="AMK36" s="334"/>
      <c r="AML36" s="334"/>
      <c r="AMM36" s="334"/>
      <c r="AMN36" s="334"/>
      <c r="AMO36" s="334"/>
      <c r="AMP36" s="334"/>
      <c r="AMQ36" s="334"/>
      <c r="AMR36" s="334"/>
      <c r="AMS36" s="334"/>
      <c r="AMT36" s="334"/>
      <c r="AMU36" s="334"/>
      <c r="AMV36" s="334"/>
      <c r="AMW36" s="334"/>
      <c r="AMX36" s="334"/>
      <c r="AMY36" s="334"/>
      <c r="AMZ36" s="334"/>
    </row>
    <row r="37" spans="1:1040" s="333" customFormat="1" ht="13.2" x14ac:dyDescent="0.25">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5"/>
      <c r="AA37" s="335"/>
      <c r="AB37" s="335"/>
      <c r="AW37" s="334"/>
      <c r="AX37" s="334"/>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4"/>
      <c r="BY37" s="334"/>
      <c r="BZ37" s="334"/>
      <c r="CA37" s="334"/>
      <c r="CB37" s="334"/>
      <c r="CC37" s="334"/>
      <c r="CD37" s="334"/>
      <c r="CE37" s="334"/>
      <c r="CF37" s="334"/>
      <c r="CG37" s="334"/>
      <c r="CH37" s="334"/>
      <c r="CI37" s="334"/>
      <c r="CJ37" s="334"/>
      <c r="CK37" s="334"/>
      <c r="CL37" s="334"/>
      <c r="CM37" s="334"/>
      <c r="CN37" s="334"/>
      <c r="CO37" s="334"/>
      <c r="CP37" s="334"/>
      <c r="CQ37" s="334"/>
      <c r="CR37" s="334"/>
      <c r="CS37" s="334"/>
      <c r="CT37" s="334"/>
      <c r="CU37" s="334"/>
      <c r="CV37" s="334"/>
      <c r="CW37" s="334"/>
      <c r="CX37" s="334"/>
      <c r="CY37" s="334"/>
      <c r="CZ37" s="334"/>
      <c r="DA37" s="334"/>
      <c r="DB37" s="334"/>
      <c r="DC37" s="334"/>
      <c r="DD37" s="334"/>
      <c r="DE37" s="334"/>
      <c r="DF37" s="334"/>
      <c r="DG37" s="334"/>
      <c r="DH37" s="334"/>
      <c r="DI37" s="334"/>
      <c r="DJ37" s="334"/>
      <c r="DK37" s="334"/>
      <c r="DL37" s="334"/>
      <c r="DM37" s="334"/>
      <c r="DN37" s="334"/>
      <c r="DO37" s="334"/>
      <c r="DP37" s="334"/>
      <c r="DQ37" s="334"/>
      <c r="DR37" s="334"/>
      <c r="DS37" s="334"/>
      <c r="DT37" s="334"/>
      <c r="DU37" s="334"/>
      <c r="DV37" s="334"/>
      <c r="DW37" s="334"/>
      <c r="DX37" s="334"/>
      <c r="DY37" s="334"/>
      <c r="DZ37" s="334"/>
      <c r="EA37" s="334"/>
      <c r="EB37" s="334"/>
      <c r="EC37" s="334"/>
      <c r="ED37" s="334"/>
      <c r="EE37" s="334"/>
      <c r="EF37" s="334"/>
      <c r="EG37" s="334"/>
      <c r="EH37" s="334"/>
      <c r="EI37" s="334"/>
      <c r="EJ37" s="334"/>
      <c r="EK37" s="334"/>
      <c r="EL37" s="334"/>
      <c r="EM37" s="334"/>
      <c r="EN37" s="334"/>
      <c r="EO37" s="334"/>
      <c r="EP37" s="334"/>
      <c r="EQ37" s="334"/>
      <c r="ER37" s="334"/>
      <c r="ES37" s="334"/>
      <c r="ET37" s="334"/>
      <c r="EU37" s="334"/>
      <c r="EV37" s="334"/>
      <c r="EW37" s="334"/>
      <c r="EX37" s="334"/>
      <c r="EY37" s="334"/>
      <c r="EZ37" s="334"/>
      <c r="FA37" s="334"/>
      <c r="FB37" s="334"/>
      <c r="FC37" s="334"/>
      <c r="FD37" s="334"/>
      <c r="FE37" s="334"/>
      <c r="FF37" s="334"/>
      <c r="FG37" s="334"/>
      <c r="FH37" s="334"/>
      <c r="FI37" s="334"/>
      <c r="FJ37" s="334"/>
      <c r="FK37" s="334"/>
      <c r="FL37" s="334"/>
      <c r="FM37" s="334"/>
      <c r="FN37" s="334"/>
      <c r="FO37" s="334"/>
      <c r="FP37" s="334"/>
      <c r="FQ37" s="334"/>
      <c r="FR37" s="334"/>
      <c r="FS37" s="334"/>
      <c r="FT37" s="334"/>
      <c r="FU37" s="334"/>
      <c r="FV37" s="334"/>
      <c r="FW37" s="334"/>
      <c r="FX37" s="334"/>
      <c r="FY37" s="334"/>
      <c r="FZ37" s="334"/>
      <c r="GA37" s="334"/>
      <c r="GB37" s="334"/>
      <c r="GC37" s="334"/>
      <c r="GD37" s="334"/>
      <c r="GE37" s="334"/>
      <c r="GF37" s="334"/>
      <c r="GG37" s="334"/>
      <c r="GH37" s="334"/>
      <c r="GI37" s="334"/>
      <c r="GJ37" s="334"/>
      <c r="GK37" s="334"/>
      <c r="GL37" s="334"/>
      <c r="GM37" s="334"/>
      <c r="GN37" s="334"/>
      <c r="GO37" s="334"/>
      <c r="GP37" s="334"/>
      <c r="GQ37" s="334"/>
      <c r="GR37" s="334"/>
      <c r="GS37" s="334"/>
      <c r="GT37" s="334"/>
      <c r="GU37" s="334"/>
      <c r="GV37" s="334"/>
      <c r="GW37" s="334"/>
      <c r="GX37" s="334"/>
      <c r="GY37" s="334"/>
      <c r="GZ37" s="334"/>
      <c r="HA37" s="334"/>
      <c r="HB37" s="334"/>
      <c r="HC37" s="334"/>
      <c r="HD37" s="334"/>
      <c r="HE37" s="334"/>
      <c r="HF37" s="334"/>
      <c r="HG37" s="334"/>
      <c r="HH37" s="334"/>
      <c r="HI37" s="334"/>
      <c r="HJ37" s="334"/>
      <c r="HK37" s="334"/>
      <c r="HL37" s="334"/>
      <c r="HM37" s="334"/>
      <c r="HN37" s="334"/>
      <c r="HO37" s="334"/>
      <c r="HP37" s="334"/>
      <c r="HQ37" s="334"/>
      <c r="HR37" s="334"/>
      <c r="HS37" s="334"/>
      <c r="HT37" s="334"/>
      <c r="HU37" s="334"/>
      <c r="HV37" s="334"/>
      <c r="HW37" s="334"/>
      <c r="HX37" s="334"/>
      <c r="HY37" s="334"/>
      <c r="HZ37" s="334"/>
      <c r="IA37" s="334"/>
      <c r="IB37" s="334"/>
      <c r="IC37" s="334"/>
      <c r="ID37" s="334"/>
      <c r="IE37" s="334"/>
      <c r="IF37" s="334"/>
      <c r="IG37" s="334"/>
      <c r="IH37" s="334"/>
      <c r="II37" s="334"/>
      <c r="IJ37" s="334"/>
      <c r="IK37" s="334"/>
      <c r="IL37" s="334"/>
      <c r="IM37" s="334"/>
      <c r="IN37" s="334"/>
      <c r="IO37" s="334"/>
      <c r="IP37" s="334"/>
      <c r="IQ37" s="334"/>
      <c r="IR37" s="334"/>
      <c r="IS37" s="334"/>
      <c r="IT37" s="334"/>
      <c r="IU37" s="334"/>
      <c r="IV37" s="334"/>
      <c r="IW37" s="334"/>
      <c r="IX37" s="334"/>
      <c r="IY37" s="334"/>
      <c r="IZ37" s="334"/>
      <c r="JA37" s="334"/>
      <c r="JB37" s="334"/>
      <c r="JC37" s="334"/>
      <c r="JD37" s="334"/>
      <c r="JE37" s="334"/>
      <c r="JF37" s="334"/>
      <c r="JG37" s="334"/>
      <c r="JH37" s="334"/>
      <c r="JI37" s="334"/>
      <c r="JJ37" s="334"/>
      <c r="JK37" s="334"/>
      <c r="JL37" s="334"/>
      <c r="JM37" s="334"/>
      <c r="JN37" s="334"/>
      <c r="JO37" s="334"/>
      <c r="JP37" s="334"/>
      <c r="JQ37" s="334"/>
      <c r="JR37" s="334"/>
      <c r="JS37" s="334"/>
      <c r="JT37" s="334"/>
      <c r="JU37" s="334"/>
      <c r="JV37" s="334"/>
      <c r="JW37" s="334"/>
      <c r="JX37" s="334"/>
      <c r="JY37" s="334"/>
      <c r="JZ37" s="334"/>
      <c r="KA37" s="334"/>
      <c r="KB37" s="334"/>
      <c r="KC37" s="334"/>
      <c r="KD37" s="334"/>
      <c r="KE37" s="334"/>
      <c r="KF37" s="334"/>
      <c r="KG37" s="334"/>
      <c r="KH37" s="334"/>
      <c r="KI37" s="334"/>
      <c r="KJ37" s="334"/>
      <c r="KK37" s="334"/>
      <c r="KL37" s="334"/>
      <c r="KM37" s="334"/>
      <c r="KN37" s="334"/>
      <c r="KO37" s="334"/>
      <c r="KP37" s="334"/>
      <c r="KQ37" s="334"/>
      <c r="KR37" s="334"/>
      <c r="KS37" s="334"/>
      <c r="KT37" s="334"/>
      <c r="KU37" s="334"/>
      <c r="KV37" s="334"/>
      <c r="KW37" s="334"/>
      <c r="KX37" s="334"/>
      <c r="KY37" s="334"/>
      <c r="KZ37" s="334"/>
      <c r="LA37" s="334"/>
      <c r="LB37" s="334"/>
      <c r="LC37" s="334"/>
      <c r="LD37" s="334"/>
      <c r="LE37" s="334"/>
      <c r="LF37" s="334"/>
      <c r="LG37" s="334"/>
      <c r="LH37" s="334"/>
      <c r="LI37" s="334"/>
      <c r="LJ37" s="334"/>
      <c r="LK37" s="334"/>
      <c r="LL37" s="334"/>
      <c r="LM37" s="334"/>
      <c r="LN37" s="334"/>
      <c r="LO37" s="334"/>
      <c r="LP37" s="334"/>
      <c r="LQ37" s="334"/>
      <c r="LR37" s="334"/>
      <c r="LS37" s="334"/>
      <c r="LT37" s="334"/>
      <c r="LU37" s="334"/>
      <c r="LV37" s="334"/>
      <c r="LW37" s="334"/>
      <c r="LX37" s="334"/>
      <c r="LY37" s="334"/>
      <c r="LZ37" s="334"/>
      <c r="MA37" s="334"/>
      <c r="MB37" s="334"/>
      <c r="MC37" s="334"/>
      <c r="MD37" s="334"/>
      <c r="ME37" s="334"/>
      <c r="MF37" s="334"/>
      <c r="MG37" s="334"/>
      <c r="MH37" s="334"/>
      <c r="MI37" s="334"/>
      <c r="MJ37" s="334"/>
      <c r="MK37" s="334"/>
      <c r="ML37" s="334"/>
      <c r="MM37" s="334"/>
      <c r="MN37" s="334"/>
      <c r="MO37" s="334"/>
      <c r="MP37" s="334"/>
      <c r="MQ37" s="334"/>
      <c r="MR37" s="334"/>
      <c r="MS37" s="334"/>
      <c r="MT37" s="334"/>
      <c r="MU37" s="334"/>
      <c r="MV37" s="334"/>
      <c r="MW37" s="334"/>
      <c r="MX37" s="334"/>
      <c r="MY37" s="334"/>
      <c r="MZ37" s="334"/>
      <c r="NA37" s="334"/>
      <c r="NB37" s="334"/>
      <c r="NC37" s="334"/>
      <c r="ND37" s="334"/>
      <c r="NE37" s="334"/>
      <c r="NF37" s="334"/>
      <c r="NG37" s="334"/>
      <c r="NH37" s="334"/>
      <c r="NI37" s="334"/>
      <c r="NJ37" s="334"/>
      <c r="NK37" s="334"/>
      <c r="NL37" s="334"/>
      <c r="NM37" s="334"/>
      <c r="NN37" s="334"/>
      <c r="NO37" s="334"/>
      <c r="NP37" s="334"/>
      <c r="NQ37" s="334"/>
      <c r="NR37" s="334"/>
      <c r="NS37" s="334"/>
      <c r="NT37" s="334"/>
      <c r="NU37" s="334"/>
      <c r="NV37" s="334"/>
      <c r="NW37" s="334"/>
      <c r="NX37" s="334"/>
      <c r="NY37" s="334"/>
      <c r="NZ37" s="334"/>
      <c r="OA37" s="334"/>
      <c r="OB37" s="334"/>
      <c r="OC37" s="334"/>
      <c r="OD37" s="334"/>
      <c r="OE37" s="334"/>
      <c r="OF37" s="334"/>
      <c r="OG37" s="334"/>
      <c r="OH37" s="334"/>
      <c r="OI37" s="334"/>
      <c r="OJ37" s="334"/>
      <c r="OK37" s="334"/>
      <c r="OL37" s="334"/>
      <c r="OM37" s="334"/>
      <c r="ON37" s="334"/>
      <c r="OO37" s="334"/>
      <c r="OP37" s="334"/>
      <c r="OQ37" s="334"/>
      <c r="OR37" s="334"/>
      <c r="OS37" s="334"/>
      <c r="OT37" s="334"/>
      <c r="OU37" s="334"/>
      <c r="OV37" s="334"/>
      <c r="OW37" s="334"/>
      <c r="OX37" s="334"/>
      <c r="OY37" s="334"/>
      <c r="OZ37" s="334"/>
      <c r="PA37" s="334"/>
      <c r="PB37" s="334"/>
      <c r="PC37" s="334"/>
      <c r="PD37" s="334"/>
      <c r="PE37" s="334"/>
      <c r="PF37" s="334"/>
      <c r="PG37" s="334"/>
      <c r="PH37" s="334"/>
      <c r="PI37" s="334"/>
      <c r="PJ37" s="334"/>
      <c r="PK37" s="334"/>
      <c r="PL37" s="334"/>
      <c r="PM37" s="334"/>
      <c r="PN37" s="334"/>
      <c r="PO37" s="334"/>
      <c r="PP37" s="334"/>
      <c r="PQ37" s="334"/>
      <c r="PR37" s="334"/>
      <c r="PS37" s="334"/>
      <c r="PT37" s="334"/>
      <c r="PU37" s="334"/>
      <c r="PV37" s="334"/>
      <c r="PW37" s="334"/>
      <c r="PX37" s="334"/>
      <c r="PY37" s="334"/>
      <c r="PZ37" s="334"/>
      <c r="QA37" s="334"/>
      <c r="QB37" s="334"/>
      <c r="QC37" s="334"/>
      <c r="QD37" s="334"/>
      <c r="QE37" s="334"/>
      <c r="QF37" s="334"/>
      <c r="QG37" s="334"/>
      <c r="QH37" s="334"/>
      <c r="QI37" s="334"/>
      <c r="QJ37" s="334"/>
      <c r="QK37" s="334"/>
      <c r="QL37" s="334"/>
      <c r="QM37" s="334"/>
      <c r="QN37" s="334"/>
      <c r="QO37" s="334"/>
      <c r="QP37" s="334"/>
      <c r="QQ37" s="334"/>
      <c r="QR37" s="334"/>
      <c r="QS37" s="334"/>
      <c r="QT37" s="334"/>
      <c r="QU37" s="334"/>
      <c r="QV37" s="334"/>
      <c r="QW37" s="334"/>
      <c r="QX37" s="334"/>
      <c r="QY37" s="334"/>
      <c r="QZ37" s="334"/>
      <c r="RA37" s="334"/>
      <c r="RB37" s="334"/>
      <c r="RC37" s="334"/>
      <c r="RD37" s="334"/>
      <c r="RE37" s="334"/>
      <c r="RF37" s="334"/>
      <c r="RG37" s="334"/>
      <c r="RH37" s="334"/>
      <c r="RI37" s="334"/>
      <c r="RJ37" s="334"/>
      <c r="RK37" s="334"/>
      <c r="RL37" s="334"/>
      <c r="RM37" s="334"/>
      <c r="RN37" s="334"/>
      <c r="RO37" s="334"/>
      <c r="RP37" s="334"/>
      <c r="RQ37" s="334"/>
      <c r="RR37" s="334"/>
      <c r="RS37" s="334"/>
      <c r="RT37" s="334"/>
      <c r="RU37" s="334"/>
      <c r="RV37" s="334"/>
      <c r="RW37" s="334"/>
      <c r="RX37" s="334"/>
      <c r="RY37" s="334"/>
      <c r="RZ37" s="334"/>
      <c r="SA37" s="334"/>
      <c r="SB37" s="334"/>
      <c r="SC37" s="334"/>
      <c r="SD37" s="334"/>
      <c r="SE37" s="334"/>
      <c r="SF37" s="334"/>
      <c r="SG37" s="334"/>
      <c r="SH37" s="334"/>
      <c r="SI37" s="334"/>
      <c r="SJ37" s="334"/>
      <c r="SK37" s="334"/>
      <c r="SL37" s="334"/>
      <c r="SM37" s="334"/>
      <c r="SN37" s="334"/>
      <c r="SO37" s="334"/>
      <c r="SP37" s="334"/>
      <c r="SQ37" s="334"/>
      <c r="SR37" s="334"/>
      <c r="SS37" s="334"/>
      <c r="ST37" s="334"/>
      <c r="SU37" s="334"/>
      <c r="SV37" s="334"/>
      <c r="SW37" s="334"/>
      <c r="SX37" s="334"/>
      <c r="SY37" s="334"/>
      <c r="SZ37" s="334"/>
      <c r="TA37" s="334"/>
      <c r="TB37" s="334"/>
      <c r="TC37" s="334"/>
      <c r="TD37" s="334"/>
      <c r="TE37" s="334"/>
      <c r="TF37" s="334"/>
      <c r="TG37" s="334"/>
      <c r="TH37" s="334"/>
      <c r="TI37" s="334"/>
      <c r="TJ37" s="334"/>
      <c r="TK37" s="334"/>
      <c r="TL37" s="334"/>
      <c r="TM37" s="334"/>
      <c r="TN37" s="334"/>
      <c r="TO37" s="334"/>
      <c r="TP37" s="334"/>
      <c r="TQ37" s="334"/>
      <c r="TR37" s="334"/>
      <c r="TS37" s="334"/>
      <c r="TT37" s="334"/>
      <c r="TU37" s="334"/>
      <c r="TV37" s="334"/>
      <c r="TW37" s="334"/>
      <c r="TX37" s="334"/>
      <c r="TY37" s="334"/>
      <c r="TZ37" s="334"/>
      <c r="UA37" s="334"/>
      <c r="UB37" s="334"/>
      <c r="UC37" s="334"/>
      <c r="UD37" s="334"/>
      <c r="UE37" s="334"/>
      <c r="UF37" s="334"/>
      <c r="UG37" s="334"/>
      <c r="UH37" s="334"/>
      <c r="UI37" s="334"/>
      <c r="UJ37" s="334"/>
      <c r="UK37" s="334"/>
      <c r="UL37" s="334"/>
      <c r="UM37" s="334"/>
      <c r="UN37" s="334"/>
      <c r="UO37" s="334"/>
      <c r="UP37" s="334"/>
      <c r="UQ37" s="334"/>
      <c r="UR37" s="334"/>
      <c r="US37" s="334"/>
      <c r="UT37" s="334"/>
      <c r="UU37" s="334"/>
      <c r="UV37" s="334"/>
      <c r="UW37" s="334"/>
      <c r="UX37" s="334"/>
      <c r="UY37" s="334"/>
      <c r="UZ37" s="334"/>
      <c r="VA37" s="334"/>
      <c r="VB37" s="334"/>
      <c r="VC37" s="334"/>
      <c r="VD37" s="334"/>
      <c r="VE37" s="334"/>
      <c r="VF37" s="334"/>
      <c r="VG37" s="334"/>
      <c r="VH37" s="334"/>
      <c r="VI37" s="334"/>
      <c r="VJ37" s="334"/>
      <c r="VK37" s="334"/>
      <c r="VL37" s="334"/>
      <c r="VM37" s="334"/>
      <c r="VN37" s="334"/>
      <c r="VO37" s="334"/>
      <c r="VP37" s="334"/>
      <c r="VQ37" s="334"/>
      <c r="VR37" s="334"/>
      <c r="VS37" s="334"/>
      <c r="VT37" s="334"/>
      <c r="VU37" s="334"/>
      <c r="VV37" s="334"/>
      <c r="VW37" s="334"/>
      <c r="VX37" s="334"/>
      <c r="VY37" s="334"/>
      <c r="VZ37" s="334"/>
      <c r="WA37" s="334"/>
      <c r="WB37" s="334"/>
      <c r="WC37" s="334"/>
      <c r="WD37" s="334"/>
      <c r="WE37" s="334"/>
      <c r="WF37" s="334"/>
      <c r="WG37" s="334"/>
      <c r="WH37" s="334"/>
      <c r="WI37" s="334"/>
      <c r="WJ37" s="334"/>
      <c r="WK37" s="334"/>
      <c r="WL37" s="334"/>
      <c r="WM37" s="334"/>
      <c r="WN37" s="334"/>
      <c r="WO37" s="334"/>
      <c r="WP37" s="334"/>
      <c r="WQ37" s="334"/>
      <c r="WR37" s="334"/>
      <c r="WS37" s="334"/>
      <c r="WT37" s="334"/>
      <c r="WU37" s="334"/>
      <c r="WV37" s="334"/>
      <c r="WW37" s="334"/>
      <c r="WX37" s="334"/>
      <c r="WY37" s="334"/>
      <c r="WZ37" s="334"/>
      <c r="XA37" s="334"/>
      <c r="XB37" s="334"/>
      <c r="XC37" s="334"/>
      <c r="XD37" s="334"/>
      <c r="XE37" s="334"/>
      <c r="XF37" s="334"/>
      <c r="XG37" s="334"/>
      <c r="XH37" s="334"/>
      <c r="XI37" s="334"/>
      <c r="XJ37" s="334"/>
      <c r="XK37" s="334"/>
      <c r="XL37" s="334"/>
      <c r="XM37" s="334"/>
      <c r="XN37" s="334"/>
      <c r="XO37" s="334"/>
      <c r="XP37" s="334"/>
      <c r="XQ37" s="334"/>
      <c r="XR37" s="334"/>
      <c r="XS37" s="334"/>
      <c r="XT37" s="334"/>
      <c r="XU37" s="334"/>
      <c r="XV37" s="334"/>
      <c r="XW37" s="334"/>
      <c r="XX37" s="334"/>
      <c r="XY37" s="334"/>
      <c r="XZ37" s="334"/>
      <c r="YA37" s="334"/>
      <c r="YB37" s="334"/>
      <c r="YC37" s="334"/>
      <c r="YD37" s="334"/>
      <c r="YE37" s="334"/>
      <c r="YF37" s="334"/>
      <c r="YG37" s="334"/>
      <c r="YH37" s="334"/>
      <c r="YI37" s="334"/>
      <c r="YJ37" s="334"/>
      <c r="YK37" s="334"/>
      <c r="YL37" s="334"/>
      <c r="YM37" s="334"/>
      <c r="YN37" s="334"/>
      <c r="YO37" s="334"/>
      <c r="YP37" s="334"/>
      <c r="YQ37" s="334"/>
      <c r="YR37" s="334"/>
      <c r="YS37" s="334"/>
      <c r="YT37" s="334"/>
      <c r="YU37" s="334"/>
      <c r="YV37" s="334"/>
      <c r="YW37" s="334"/>
      <c r="YX37" s="334"/>
      <c r="YY37" s="334"/>
      <c r="YZ37" s="334"/>
      <c r="ZA37" s="334"/>
      <c r="ZB37" s="334"/>
      <c r="ZC37" s="334"/>
      <c r="ZD37" s="334"/>
      <c r="ZE37" s="334"/>
      <c r="ZF37" s="334"/>
      <c r="ZG37" s="334"/>
      <c r="ZH37" s="334"/>
      <c r="ZI37" s="334"/>
      <c r="ZJ37" s="334"/>
      <c r="ZK37" s="334"/>
      <c r="ZL37" s="334"/>
      <c r="ZM37" s="334"/>
      <c r="ZN37" s="334"/>
      <c r="ZO37" s="334"/>
      <c r="ZP37" s="334"/>
      <c r="ZQ37" s="334"/>
      <c r="ZR37" s="334"/>
      <c r="ZS37" s="334"/>
      <c r="ZT37" s="334"/>
      <c r="ZU37" s="334"/>
      <c r="ZV37" s="334"/>
      <c r="ZW37" s="334"/>
      <c r="ZX37" s="334"/>
      <c r="ZY37" s="334"/>
      <c r="ZZ37" s="334"/>
      <c r="AAA37" s="334"/>
      <c r="AAB37" s="334"/>
      <c r="AAC37" s="334"/>
      <c r="AAD37" s="334"/>
      <c r="AAE37" s="334"/>
      <c r="AAF37" s="334"/>
      <c r="AAG37" s="334"/>
      <c r="AAH37" s="334"/>
      <c r="AAI37" s="334"/>
      <c r="AAJ37" s="334"/>
      <c r="AAK37" s="334"/>
      <c r="AAL37" s="334"/>
      <c r="AAM37" s="334"/>
      <c r="AAN37" s="334"/>
      <c r="AAO37" s="334"/>
      <c r="AAP37" s="334"/>
      <c r="AAQ37" s="334"/>
      <c r="AAR37" s="334"/>
      <c r="AAS37" s="334"/>
      <c r="AAT37" s="334"/>
      <c r="AAU37" s="334"/>
      <c r="AAV37" s="334"/>
      <c r="AAW37" s="334"/>
      <c r="AAX37" s="334"/>
      <c r="AAY37" s="334"/>
      <c r="AAZ37" s="334"/>
      <c r="ABA37" s="334"/>
      <c r="ABB37" s="334"/>
      <c r="ABC37" s="334"/>
      <c r="ABD37" s="334"/>
      <c r="ABE37" s="334"/>
      <c r="ABF37" s="334"/>
      <c r="ABG37" s="334"/>
      <c r="ABH37" s="334"/>
      <c r="ABI37" s="334"/>
      <c r="ABJ37" s="334"/>
      <c r="ABK37" s="334"/>
      <c r="ABL37" s="334"/>
      <c r="ABM37" s="334"/>
      <c r="ABN37" s="334"/>
      <c r="ABO37" s="334"/>
      <c r="ABP37" s="334"/>
      <c r="ABQ37" s="334"/>
      <c r="ABR37" s="334"/>
      <c r="ABS37" s="334"/>
      <c r="ABT37" s="334"/>
      <c r="ABU37" s="334"/>
      <c r="ABV37" s="334"/>
      <c r="ABW37" s="334"/>
      <c r="ABX37" s="334"/>
      <c r="ABY37" s="334"/>
      <c r="ABZ37" s="334"/>
      <c r="ACA37" s="334"/>
      <c r="ACB37" s="334"/>
      <c r="ACC37" s="334"/>
      <c r="ACD37" s="334"/>
      <c r="ACE37" s="334"/>
      <c r="ACF37" s="334"/>
      <c r="ACG37" s="334"/>
      <c r="ACH37" s="334"/>
      <c r="ACI37" s="334"/>
      <c r="ACJ37" s="334"/>
      <c r="ACK37" s="334"/>
      <c r="ACL37" s="334"/>
      <c r="ACM37" s="334"/>
      <c r="ACN37" s="334"/>
      <c r="ACO37" s="334"/>
      <c r="ACP37" s="334"/>
      <c r="ACQ37" s="334"/>
      <c r="ACR37" s="334"/>
      <c r="ACS37" s="334"/>
      <c r="ACT37" s="334"/>
      <c r="ACU37" s="334"/>
      <c r="ACV37" s="334"/>
      <c r="ACW37" s="334"/>
      <c r="ACX37" s="334"/>
      <c r="ACY37" s="334"/>
      <c r="ACZ37" s="334"/>
      <c r="ADA37" s="334"/>
      <c r="ADB37" s="334"/>
      <c r="ADC37" s="334"/>
      <c r="ADD37" s="334"/>
      <c r="ADE37" s="334"/>
      <c r="ADF37" s="334"/>
      <c r="ADG37" s="334"/>
      <c r="ADH37" s="334"/>
      <c r="ADI37" s="334"/>
      <c r="ADJ37" s="334"/>
      <c r="ADK37" s="334"/>
      <c r="ADL37" s="334"/>
      <c r="ADM37" s="334"/>
      <c r="ADN37" s="334"/>
      <c r="ADO37" s="334"/>
      <c r="ADP37" s="334"/>
      <c r="ADQ37" s="334"/>
      <c r="ADR37" s="334"/>
      <c r="ADS37" s="334"/>
      <c r="ADT37" s="334"/>
      <c r="ADU37" s="334"/>
      <c r="ADV37" s="334"/>
      <c r="ADW37" s="334"/>
      <c r="ADX37" s="334"/>
      <c r="ADY37" s="334"/>
      <c r="ADZ37" s="334"/>
      <c r="AEA37" s="334"/>
      <c r="AEB37" s="334"/>
      <c r="AEC37" s="334"/>
      <c r="AED37" s="334"/>
      <c r="AEE37" s="334"/>
      <c r="AEF37" s="334"/>
      <c r="AEG37" s="334"/>
      <c r="AEH37" s="334"/>
      <c r="AEI37" s="334"/>
      <c r="AEJ37" s="334"/>
      <c r="AEK37" s="334"/>
      <c r="AEL37" s="334"/>
      <c r="AEM37" s="334"/>
      <c r="AEN37" s="334"/>
      <c r="AEO37" s="334"/>
      <c r="AEP37" s="334"/>
      <c r="AEQ37" s="334"/>
      <c r="AER37" s="334"/>
      <c r="AES37" s="334"/>
      <c r="AET37" s="334"/>
      <c r="AEU37" s="334"/>
      <c r="AEV37" s="334"/>
      <c r="AEW37" s="334"/>
      <c r="AEX37" s="334"/>
      <c r="AEY37" s="334"/>
      <c r="AEZ37" s="334"/>
      <c r="AFA37" s="334"/>
      <c r="AFB37" s="334"/>
      <c r="AFC37" s="334"/>
      <c r="AFD37" s="334"/>
      <c r="AFE37" s="334"/>
      <c r="AFF37" s="334"/>
      <c r="AFG37" s="334"/>
      <c r="AFH37" s="334"/>
      <c r="AFI37" s="334"/>
      <c r="AFJ37" s="334"/>
      <c r="AFK37" s="334"/>
      <c r="AFL37" s="334"/>
      <c r="AFM37" s="334"/>
      <c r="AFN37" s="334"/>
      <c r="AFO37" s="334"/>
      <c r="AFP37" s="334"/>
      <c r="AFQ37" s="334"/>
      <c r="AFR37" s="334"/>
      <c r="AFS37" s="334"/>
      <c r="AFT37" s="334"/>
      <c r="AFU37" s="334"/>
      <c r="AFV37" s="334"/>
      <c r="AFW37" s="334"/>
      <c r="AFX37" s="334"/>
      <c r="AFY37" s="334"/>
      <c r="AFZ37" s="334"/>
      <c r="AGA37" s="334"/>
      <c r="AGB37" s="334"/>
      <c r="AGC37" s="334"/>
      <c r="AGD37" s="334"/>
      <c r="AGE37" s="334"/>
      <c r="AGF37" s="334"/>
      <c r="AGG37" s="334"/>
      <c r="AGH37" s="334"/>
      <c r="AGI37" s="334"/>
      <c r="AGJ37" s="334"/>
      <c r="AGK37" s="334"/>
      <c r="AGL37" s="334"/>
      <c r="AGM37" s="334"/>
      <c r="AGN37" s="334"/>
      <c r="AGO37" s="334"/>
      <c r="AGP37" s="334"/>
      <c r="AGQ37" s="334"/>
      <c r="AGR37" s="334"/>
      <c r="AGS37" s="334"/>
      <c r="AGT37" s="334"/>
      <c r="AGU37" s="334"/>
      <c r="AGV37" s="334"/>
      <c r="AGW37" s="334"/>
      <c r="AGX37" s="334"/>
      <c r="AGY37" s="334"/>
      <c r="AGZ37" s="334"/>
      <c r="AHA37" s="334"/>
      <c r="AHB37" s="334"/>
      <c r="AHC37" s="334"/>
      <c r="AHD37" s="334"/>
      <c r="AHE37" s="334"/>
      <c r="AHF37" s="334"/>
      <c r="AHG37" s="334"/>
      <c r="AHH37" s="334"/>
      <c r="AHI37" s="334"/>
      <c r="AHJ37" s="334"/>
      <c r="AHK37" s="334"/>
      <c r="AHL37" s="334"/>
      <c r="AHM37" s="334"/>
      <c r="AHN37" s="334"/>
      <c r="AHO37" s="334"/>
      <c r="AHP37" s="334"/>
      <c r="AHQ37" s="334"/>
      <c r="AHR37" s="334"/>
      <c r="AHS37" s="334"/>
      <c r="AHT37" s="334"/>
      <c r="AHU37" s="334"/>
      <c r="AHV37" s="334"/>
      <c r="AHW37" s="334"/>
      <c r="AHX37" s="334"/>
      <c r="AHY37" s="334"/>
      <c r="AHZ37" s="334"/>
      <c r="AIA37" s="334"/>
      <c r="AIB37" s="334"/>
      <c r="AIC37" s="334"/>
      <c r="AID37" s="334"/>
      <c r="AIE37" s="334"/>
      <c r="AIF37" s="334"/>
      <c r="AIG37" s="334"/>
      <c r="AIH37" s="334"/>
      <c r="AII37" s="334"/>
      <c r="AIJ37" s="334"/>
      <c r="AIK37" s="334"/>
      <c r="AIL37" s="334"/>
      <c r="AIM37" s="334"/>
      <c r="AIN37" s="334"/>
      <c r="AIO37" s="334"/>
      <c r="AIP37" s="334"/>
      <c r="AIQ37" s="334"/>
      <c r="AIR37" s="334"/>
      <c r="AIS37" s="334"/>
      <c r="AIT37" s="334"/>
      <c r="AIU37" s="334"/>
      <c r="AIV37" s="334"/>
      <c r="AIW37" s="334"/>
      <c r="AIX37" s="334"/>
      <c r="AIY37" s="334"/>
      <c r="AIZ37" s="334"/>
      <c r="AJA37" s="334"/>
      <c r="AJB37" s="334"/>
      <c r="AJC37" s="334"/>
      <c r="AJD37" s="334"/>
      <c r="AJE37" s="334"/>
      <c r="AJF37" s="334"/>
      <c r="AJG37" s="334"/>
      <c r="AJH37" s="334"/>
      <c r="AJI37" s="334"/>
      <c r="AJJ37" s="334"/>
      <c r="AJK37" s="334"/>
      <c r="AJL37" s="334"/>
      <c r="AJM37" s="334"/>
      <c r="AJN37" s="334"/>
      <c r="AJO37" s="334"/>
      <c r="AJP37" s="334"/>
      <c r="AJQ37" s="334"/>
      <c r="AJR37" s="334"/>
      <c r="AJS37" s="334"/>
      <c r="AJT37" s="334"/>
      <c r="AJU37" s="334"/>
      <c r="AJV37" s="334"/>
      <c r="AJW37" s="334"/>
      <c r="AJX37" s="334"/>
      <c r="AJY37" s="334"/>
      <c r="AJZ37" s="334"/>
      <c r="AKA37" s="334"/>
      <c r="AKB37" s="334"/>
      <c r="AKC37" s="334"/>
      <c r="AKD37" s="334"/>
      <c r="AKE37" s="334"/>
      <c r="AKF37" s="334"/>
      <c r="AKG37" s="334"/>
      <c r="AKH37" s="334"/>
      <c r="AKI37" s="334"/>
      <c r="AKJ37" s="334"/>
      <c r="AKK37" s="334"/>
      <c r="AKL37" s="334"/>
      <c r="AKM37" s="334"/>
      <c r="AKN37" s="334"/>
      <c r="AKO37" s="334"/>
      <c r="AKP37" s="334"/>
      <c r="AKQ37" s="334"/>
      <c r="AKR37" s="334"/>
      <c r="AKS37" s="334"/>
      <c r="AKT37" s="334"/>
      <c r="AKU37" s="334"/>
      <c r="AKV37" s="334"/>
      <c r="AKW37" s="334"/>
      <c r="AKX37" s="334"/>
      <c r="AKY37" s="334"/>
      <c r="AKZ37" s="334"/>
      <c r="ALA37" s="334"/>
      <c r="ALB37" s="334"/>
      <c r="ALC37" s="334"/>
      <c r="ALD37" s="334"/>
      <c r="ALE37" s="334"/>
      <c r="ALF37" s="334"/>
      <c r="ALG37" s="334"/>
      <c r="ALH37" s="334"/>
      <c r="ALI37" s="334"/>
      <c r="ALJ37" s="334"/>
      <c r="ALK37" s="334"/>
      <c r="ALL37" s="334"/>
      <c r="ALM37" s="334"/>
      <c r="ALN37" s="334"/>
      <c r="ALO37" s="334"/>
      <c r="ALP37" s="334"/>
      <c r="ALQ37" s="334"/>
      <c r="ALR37" s="334"/>
      <c r="ALS37" s="334"/>
      <c r="ALT37" s="334"/>
      <c r="ALU37" s="334"/>
      <c r="ALV37" s="334"/>
      <c r="ALW37" s="334"/>
      <c r="ALX37" s="334"/>
      <c r="ALY37" s="334"/>
      <c r="ALZ37" s="334"/>
      <c r="AMA37" s="334"/>
      <c r="AMB37" s="334"/>
      <c r="AMC37" s="334"/>
      <c r="AMD37" s="334"/>
      <c r="AME37" s="334"/>
      <c r="AMF37" s="334"/>
      <c r="AMG37" s="334"/>
      <c r="AMH37" s="334"/>
      <c r="AMI37" s="334"/>
      <c r="AMJ37" s="334"/>
      <c r="AMK37" s="334"/>
      <c r="AML37" s="334"/>
      <c r="AMM37" s="334"/>
      <c r="AMN37" s="334"/>
      <c r="AMO37" s="334"/>
      <c r="AMP37" s="334"/>
      <c r="AMQ37" s="334"/>
      <c r="AMR37" s="334"/>
      <c r="AMS37" s="334"/>
      <c r="AMT37" s="334"/>
      <c r="AMU37" s="334"/>
      <c r="AMV37" s="334"/>
      <c r="AMW37" s="334"/>
      <c r="AMX37" s="334"/>
      <c r="AMY37" s="334"/>
      <c r="AMZ37" s="334"/>
    </row>
    <row r="38" spans="1:1040" s="333" customFormat="1" ht="13.2" x14ac:dyDescent="0.25">
      <c r="A38" s="334"/>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5"/>
      <c r="AA38" s="335"/>
      <c r="AB38" s="335"/>
      <c r="AW38" s="334"/>
      <c r="AX38" s="334"/>
      <c r="AY38" s="334"/>
      <c r="AZ38" s="334"/>
      <c r="BA38" s="334"/>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4"/>
      <c r="BY38" s="334"/>
      <c r="BZ38" s="334"/>
      <c r="CA38" s="334"/>
      <c r="CB38" s="334"/>
      <c r="CC38" s="334"/>
      <c r="CD38" s="334"/>
      <c r="CE38" s="334"/>
      <c r="CF38" s="334"/>
      <c r="CG38" s="334"/>
      <c r="CH38" s="334"/>
      <c r="CI38" s="334"/>
      <c r="CJ38" s="334"/>
      <c r="CK38" s="334"/>
      <c r="CL38" s="334"/>
      <c r="CM38" s="334"/>
      <c r="CN38" s="334"/>
      <c r="CO38" s="334"/>
      <c r="CP38" s="334"/>
      <c r="CQ38" s="334"/>
      <c r="CR38" s="334"/>
      <c r="CS38" s="334"/>
      <c r="CT38" s="334"/>
      <c r="CU38" s="334"/>
      <c r="CV38" s="334"/>
      <c r="CW38" s="334"/>
      <c r="CX38" s="334"/>
      <c r="CY38" s="334"/>
      <c r="CZ38" s="334"/>
      <c r="DA38" s="334"/>
      <c r="DB38" s="334"/>
      <c r="DC38" s="334"/>
      <c r="DD38" s="334"/>
      <c r="DE38" s="334"/>
      <c r="DF38" s="334"/>
      <c r="DG38" s="334"/>
      <c r="DH38" s="334"/>
      <c r="DI38" s="334"/>
      <c r="DJ38" s="334"/>
      <c r="DK38" s="334"/>
      <c r="DL38" s="334"/>
      <c r="DM38" s="334"/>
      <c r="DN38" s="334"/>
      <c r="DO38" s="334"/>
      <c r="DP38" s="334"/>
      <c r="DQ38" s="334"/>
      <c r="DR38" s="334"/>
      <c r="DS38" s="334"/>
      <c r="DT38" s="334"/>
      <c r="DU38" s="334"/>
      <c r="DV38" s="334"/>
      <c r="DW38" s="334"/>
      <c r="DX38" s="334"/>
      <c r="DY38" s="334"/>
      <c r="DZ38" s="334"/>
      <c r="EA38" s="334"/>
      <c r="EB38" s="334"/>
      <c r="EC38" s="334"/>
      <c r="ED38" s="334"/>
      <c r="EE38" s="334"/>
      <c r="EF38" s="334"/>
      <c r="EG38" s="334"/>
      <c r="EH38" s="334"/>
      <c r="EI38" s="334"/>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4"/>
      <c r="FU38" s="334"/>
      <c r="FV38" s="334"/>
      <c r="FW38" s="334"/>
      <c r="FX38" s="334"/>
      <c r="FY38" s="334"/>
      <c r="FZ38" s="334"/>
      <c r="GA38" s="334"/>
      <c r="GB38" s="334"/>
      <c r="GC38" s="334"/>
      <c r="GD38" s="334"/>
      <c r="GE38" s="334"/>
      <c r="GF38" s="334"/>
      <c r="GG38" s="334"/>
      <c r="GH38" s="334"/>
      <c r="GI38" s="334"/>
      <c r="GJ38" s="334"/>
      <c r="GK38" s="334"/>
      <c r="GL38" s="334"/>
      <c r="GM38" s="334"/>
      <c r="GN38" s="334"/>
      <c r="GO38" s="334"/>
      <c r="GP38" s="334"/>
      <c r="GQ38" s="334"/>
      <c r="GR38" s="334"/>
      <c r="GS38" s="334"/>
      <c r="GT38" s="334"/>
      <c r="GU38" s="334"/>
      <c r="GV38" s="334"/>
      <c r="GW38" s="334"/>
      <c r="GX38" s="334"/>
      <c r="GY38" s="334"/>
      <c r="GZ38" s="334"/>
      <c r="HA38" s="334"/>
      <c r="HB38" s="334"/>
      <c r="HC38" s="334"/>
      <c r="HD38" s="334"/>
      <c r="HE38" s="334"/>
      <c r="HF38" s="334"/>
      <c r="HG38" s="334"/>
      <c r="HH38" s="334"/>
      <c r="HI38" s="334"/>
      <c r="HJ38" s="334"/>
      <c r="HK38" s="334"/>
      <c r="HL38" s="334"/>
      <c r="HM38" s="334"/>
      <c r="HN38" s="334"/>
      <c r="HO38" s="334"/>
      <c r="HP38" s="334"/>
      <c r="HQ38" s="334"/>
      <c r="HR38" s="334"/>
      <c r="HS38" s="334"/>
      <c r="HT38" s="334"/>
      <c r="HU38" s="334"/>
      <c r="HV38" s="334"/>
      <c r="HW38" s="334"/>
      <c r="HX38" s="334"/>
      <c r="HY38" s="334"/>
      <c r="HZ38" s="334"/>
      <c r="IA38" s="334"/>
      <c r="IB38" s="334"/>
      <c r="IC38" s="334"/>
      <c r="ID38" s="334"/>
      <c r="IE38" s="334"/>
      <c r="IF38" s="334"/>
      <c r="IG38" s="334"/>
      <c r="IH38" s="334"/>
      <c r="II38" s="334"/>
      <c r="IJ38" s="334"/>
      <c r="IK38" s="334"/>
      <c r="IL38" s="334"/>
      <c r="IM38" s="334"/>
      <c r="IN38" s="334"/>
      <c r="IO38" s="334"/>
      <c r="IP38" s="334"/>
      <c r="IQ38" s="334"/>
      <c r="IR38" s="334"/>
      <c r="IS38" s="334"/>
      <c r="IT38" s="334"/>
      <c r="IU38" s="334"/>
      <c r="IV38" s="334"/>
      <c r="IW38" s="334"/>
      <c r="IX38" s="334"/>
      <c r="IY38" s="334"/>
      <c r="IZ38" s="334"/>
      <c r="JA38" s="334"/>
      <c r="JB38" s="334"/>
      <c r="JC38" s="334"/>
      <c r="JD38" s="334"/>
      <c r="JE38" s="334"/>
      <c r="JF38" s="334"/>
      <c r="JG38" s="334"/>
      <c r="JH38" s="334"/>
      <c r="JI38" s="334"/>
      <c r="JJ38" s="334"/>
      <c r="JK38" s="334"/>
      <c r="JL38" s="334"/>
      <c r="JM38" s="334"/>
      <c r="JN38" s="334"/>
      <c r="JO38" s="334"/>
      <c r="JP38" s="334"/>
      <c r="JQ38" s="334"/>
      <c r="JR38" s="334"/>
      <c r="JS38" s="334"/>
      <c r="JT38" s="334"/>
      <c r="JU38" s="334"/>
      <c r="JV38" s="334"/>
      <c r="JW38" s="334"/>
      <c r="JX38" s="334"/>
      <c r="JY38" s="334"/>
      <c r="JZ38" s="334"/>
      <c r="KA38" s="334"/>
      <c r="KB38" s="334"/>
      <c r="KC38" s="334"/>
      <c r="KD38" s="334"/>
      <c r="KE38" s="334"/>
      <c r="KF38" s="334"/>
      <c r="KG38" s="334"/>
      <c r="KH38" s="334"/>
      <c r="KI38" s="334"/>
      <c r="KJ38" s="334"/>
      <c r="KK38" s="334"/>
      <c r="KL38" s="334"/>
      <c r="KM38" s="334"/>
      <c r="KN38" s="334"/>
      <c r="KO38" s="334"/>
      <c r="KP38" s="334"/>
      <c r="KQ38" s="334"/>
      <c r="KR38" s="334"/>
      <c r="KS38" s="334"/>
      <c r="KT38" s="334"/>
      <c r="KU38" s="334"/>
      <c r="KV38" s="334"/>
      <c r="KW38" s="334"/>
      <c r="KX38" s="334"/>
      <c r="KY38" s="334"/>
      <c r="KZ38" s="334"/>
      <c r="LA38" s="334"/>
      <c r="LB38" s="334"/>
      <c r="LC38" s="334"/>
      <c r="LD38" s="334"/>
      <c r="LE38" s="334"/>
      <c r="LF38" s="334"/>
      <c r="LG38" s="334"/>
      <c r="LH38" s="334"/>
      <c r="LI38" s="334"/>
      <c r="LJ38" s="334"/>
      <c r="LK38" s="334"/>
      <c r="LL38" s="334"/>
      <c r="LM38" s="334"/>
      <c r="LN38" s="334"/>
      <c r="LO38" s="334"/>
      <c r="LP38" s="334"/>
      <c r="LQ38" s="334"/>
      <c r="LR38" s="334"/>
      <c r="LS38" s="334"/>
      <c r="LT38" s="334"/>
      <c r="LU38" s="334"/>
      <c r="LV38" s="334"/>
      <c r="LW38" s="334"/>
      <c r="LX38" s="334"/>
      <c r="LY38" s="334"/>
      <c r="LZ38" s="334"/>
      <c r="MA38" s="334"/>
      <c r="MB38" s="334"/>
      <c r="MC38" s="334"/>
      <c r="MD38" s="334"/>
      <c r="ME38" s="334"/>
      <c r="MF38" s="334"/>
      <c r="MG38" s="334"/>
      <c r="MH38" s="334"/>
      <c r="MI38" s="334"/>
      <c r="MJ38" s="334"/>
      <c r="MK38" s="334"/>
      <c r="ML38" s="334"/>
      <c r="MM38" s="334"/>
      <c r="MN38" s="334"/>
      <c r="MO38" s="334"/>
      <c r="MP38" s="334"/>
      <c r="MQ38" s="334"/>
      <c r="MR38" s="334"/>
      <c r="MS38" s="334"/>
      <c r="MT38" s="334"/>
      <c r="MU38" s="334"/>
      <c r="MV38" s="334"/>
      <c r="MW38" s="334"/>
      <c r="MX38" s="334"/>
      <c r="MY38" s="334"/>
      <c r="MZ38" s="334"/>
      <c r="NA38" s="334"/>
      <c r="NB38" s="334"/>
      <c r="NC38" s="334"/>
      <c r="ND38" s="334"/>
      <c r="NE38" s="334"/>
      <c r="NF38" s="334"/>
      <c r="NG38" s="334"/>
      <c r="NH38" s="334"/>
      <c r="NI38" s="334"/>
      <c r="NJ38" s="334"/>
      <c r="NK38" s="334"/>
      <c r="NL38" s="334"/>
      <c r="NM38" s="334"/>
      <c r="NN38" s="334"/>
      <c r="NO38" s="334"/>
      <c r="NP38" s="334"/>
      <c r="NQ38" s="334"/>
      <c r="NR38" s="334"/>
      <c r="NS38" s="334"/>
      <c r="NT38" s="334"/>
      <c r="NU38" s="334"/>
      <c r="NV38" s="334"/>
      <c r="NW38" s="334"/>
      <c r="NX38" s="334"/>
      <c r="NY38" s="334"/>
      <c r="NZ38" s="334"/>
      <c r="OA38" s="334"/>
      <c r="OB38" s="334"/>
      <c r="OC38" s="334"/>
      <c r="OD38" s="334"/>
      <c r="OE38" s="334"/>
      <c r="OF38" s="334"/>
      <c r="OG38" s="334"/>
      <c r="OH38" s="334"/>
      <c r="OI38" s="334"/>
      <c r="OJ38" s="334"/>
      <c r="OK38" s="334"/>
      <c r="OL38" s="334"/>
      <c r="OM38" s="334"/>
      <c r="ON38" s="334"/>
      <c r="OO38" s="334"/>
      <c r="OP38" s="334"/>
      <c r="OQ38" s="334"/>
      <c r="OR38" s="334"/>
      <c r="OS38" s="334"/>
      <c r="OT38" s="334"/>
      <c r="OU38" s="334"/>
      <c r="OV38" s="334"/>
      <c r="OW38" s="334"/>
      <c r="OX38" s="334"/>
      <c r="OY38" s="334"/>
      <c r="OZ38" s="334"/>
      <c r="PA38" s="334"/>
      <c r="PB38" s="334"/>
      <c r="PC38" s="334"/>
      <c r="PD38" s="334"/>
      <c r="PE38" s="334"/>
      <c r="PF38" s="334"/>
      <c r="PG38" s="334"/>
      <c r="PH38" s="334"/>
      <c r="PI38" s="334"/>
      <c r="PJ38" s="334"/>
      <c r="PK38" s="334"/>
      <c r="PL38" s="334"/>
      <c r="PM38" s="334"/>
      <c r="PN38" s="334"/>
      <c r="PO38" s="334"/>
      <c r="PP38" s="334"/>
      <c r="PQ38" s="334"/>
      <c r="PR38" s="334"/>
      <c r="PS38" s="334"/>
      <c r="PT38" s="334"/>
      <c r="PU38" s="334"/>
      <c r="PV38" s="334"/>
      <c r="PW38" s="334"/>
      <c r="PX38" s="334"/>
      <c r="PY38" s="334"/>
      <c r="PZ38" s="334"/>
      <c r="QA38" s="334"/>
      <c r="QB38" s="334"/>
      <c r="QC38" s="334"/>
      <c r="QD38" s="334"/>
      <c r="QE38" s="334"/>
      <c r="QF38" s="334"/>
      <c r="QG38" s="334"/>
      <c r="QH38" s="334"/>
      <c r="QI38" s="334"/>
      <c r="QJ38" s="334"/>
      <c r="QK38" s="334"/>
      <c r="QL38" s="334"/>
      <c r="QM38" s="334"/>
      <c r="QN38" s="334"/>
      <c r="QO38" s="334"/>
      <c r="QP38" s="334"/>
      <c r="QQ38" s="334"/>
      <c r="QR38" s="334"/>
      <c r="QS38" s="334"/>
      <c r="QT38" s="334"/>
      <c r="QU38" s="334"/>
      <c r="QV38" s="334"/>
      <c r="QW38" s="334"/>
      <c r="QX38" s="334"/>
      <c r="QY38" s="334"/>
      <c r="QZ38" s="334"/>
      <c r="RA38" s="334"/>
      <c r="RB38" s="334"/>
      <c r="RC38" s="334"/>
      <c r="RD38" s="334"/>
      <c r="RE38" s="334"/>
      <c r="RF38" s="334"/>
      <c r="RG38" s="334"/>
      <c r="RH38" s="334"/>
      <c r="RI38" s="334"/>
      <c r="RJ38" s="334"/>
      <c r="RK38" s="334"/>
      <c r="RL38" s="334"/>
      <c r="RM38" s="334"/>
      <c r="RN38" s="334"/>
      <c r="RO38" s="334"/>
      <c r="RP38" s="334"/>
      <c r="RQ38" s="334"/>
      <c r="RR38" s="334"/>
      <c r="RS38" s="334"/>
      <c r="RT38" s="334"/>
      <c r="RU38" s="334"/>
      <c r="RV38" s="334"/>
      <c r="RW38" s="334"/>
      <c r="RX38" s="334"/>
      <c r="RY38" s="334"/>
      <c r="RZ38" s="334"/>
      <c r="SA38" s="334"/>
      <c r="SB38" s="334"/>
      <c r="SC38" s="334"/>
      <c r="SD38" s="334"/>
      <c r="SE38" s="334"/>
      <c r="SF38" s="334"/>
      <c r="SG38" s="334"/>
      <c r="SH38" s="334"/>
      <c r="SI38" s="334"/>
      <c r="SJ38" s="334"/>
      <c r="SK38" s="334"/>
      <c r="SL38" s="334"/>
      <c r="SM38" s="334"/>
      <c r="SN38" s="334"/>
      <c r="SO38" s="334"/>
      <c r="SP38" s="334"/>
      <c r="SQ38" s="334"/>
      <c r="SR38" s="334"/>
      <c r="SS38" s="334"/>
      <c r="ST38" s="334"/>
      <c r="SU38" s="334"/>
      <c r="SV38" s="334"/>
      <c r="SW38" s="334"/>
      <c r="SX38" s="334"/>
      <c r="SY38" s="334"/>
      <c r="SZ38" s="334"/>
      <c r="TA38" s="334"/>
      <c r="TB38" s="334"/>
      <c r="TC38" s="334"/>
      <c r="TD38" s="334"/>
      <c r="TE38" s="334"/>
      <c r="TF38" s="334"/>
      <c r="TG38" s="334"/>
      <c r="TH38" s="334"/>
      <c r="TI38" s="334"/>
      <c r="TJ38" s="334"/>
      <c r="TK38" s="334"/>
      <c r="TL38" s="334"/>
      <c r="TM38" s="334"/>
      <c r="TN38" s="334"/>
      <c r="TO38" s="334"/>
      <c r="TP38" s="334"/>
      <c r="TQ38" s="334"/>
      <c r="TR38" s="334"/>
      <c r="TS38" s="334"/>
      <c r="TT38" s="334"/>
      <c r="TU38" s="334"/>
      <c r="TV38" s="334"/>
      <c r="TW38" s="334"/>
      <c r="TX38" s="334"/>
      <c r="TY38" s="334"/>
      <c r="TZ38" s="334"/>
      <c r="UA38" s="334"/>
      <c r="UB38" s="334"/>
      <c r="UC38" s="334"/>
      <c r="UD38" s="334"/>
      <c r="UE38" s="334"/>
      <c r="UF38" s="334"/>
      <c r="UG38" s="334"/>
      <c r="UH38" s="334"/>
      <c r="UI38" s="334"/>
      <c r="UJ38" s="334"/>
      <c r="UK38" s="334"/>
      <c r="UL38" s="334"/>
      <c r="UM38" s="334"/>
      <c r="UN38" s="334"/>
      <c r="UO38" s="334"/>
      <c r="UP38" s="334"/>
      <c r="UQ38" s="334"/>
      <c r="UR38" s="334"/>
      <c r="US38" s="334"/>
      <c r="UT38" s="334"/>
      <c r="UU38" s="334"/>
      <c r="UV38" s="334"/>
      <c r="UW38" s="334"/>
      <c r="UX38" s="334"/>
      <c r="UY38" s="334"/>
      <c r="UZ38" s="334"/>
      <c r="VA38" s="334"/>
      <c r="VB38" s="334"/>
      <c r="VC38" s="334"/>
      <c r="VD38" s="334"/>
      <c r="VE38" s="334"/>
      <c r="VF38" s="334"/>
      <c r="VG38" s="334"/>
      <c r="VH38" s="334"/>
      <c r="VI38" s="334"/>
      <c r="VJ38" s="334"/>
      <c r="VK38" s="334"/>
      <c r="VL38" s="334"/>
      <c r="VM38" s="334"/>
      <c r="VN38" s="334"/>
      <c r="VO38" s="334"/>
      <c r="VP38" s="334"/>
      <c r="VQ38" s="334"/>
      <c r="VR38" s="334"/>
      <c r="VS38" s="334"/>
      <c r="VT38" s="334"/>
      <c r="VU38" s="334"/>
      <c r="VV38" s="334"/>
      <c r="VW38" s="334"/>
      <c r="VX38" s="334"/>
      <c r="VY38" s="334"/>
      <c r="VZ38" s="334"/>
      <c r="WA38" s="334"/>
      <c r="WB38" s="334"/>
      <c r="WC38" s="334"/>
      <c r="WD38" s="334"/>
      <c r="WE38" s="334"/>
      <c r="WF38" s="334"/>
      <c r="WG38" s="334"/>
      <c r="WH38" s="334"/>
      <c r="WI38" s="334"/>
      <c r="WJ38" s="334"/>
      <c r="WK38" s="334"/>
      <c r="WL38" s="334"/>
      <c r="WM38" s="334"/>
      <c r="WN38" s="334"/>
      <c r="WO38" s="334"/>
      <c r="WP38" s="334"/>
      <c r="WQ38" s="334"/>
      <c r="WR38" s="334"/>
      <c r="WS38" s="334"/>
      <c r="WT38" s="334"/>
      <c r="WU38" s="334"/>
      <c r="WV38" s="334"/>
      <c r="WW38" s="334"/>
      <c r="WX38" s="334"/>
      <c r="WY38" s="334"/>
      <c r="WZ38" s="334"/>
      <c r="XA38" s="334"/>
      <c r="XB38" s="334"/>
      <c r="XC38" s="334"/>
      <c r="XD38" s="334"/>
      <c r="XE38" s="334"/>
      <c r="XF38" s="334"/>
      <c r="XG38" s="334"/>
      <c r="XH38" s="334"/>
      <c r="XI38" s="334"/>
      <c r="XJ38" s="334"/>
      <c r="XK38" s="334"/>
      <c r="XL38" s="334"/>
      <c r="XM38" s="334"/>
      <c r="XN38" s="334"/>
      <c r="XO38" s="334"/>
      <c r="XP38" s="334"/>
      <c r="XQ38" s="334"/>
      <c r="XR38" s="334"/>
      <c r="XS38" s="334"/>
      <c r="XT38" s="334"/>
      <c r="XU38" s="334"/>
      <c r="XV38" s="334"/>
      <c r="XW38" s="334"/>
      <c r="XX38" s="334"/>
      <c r="XY38" s="334"/>
      <c r="XZ38" s="334"/>
      <c r="YA38" s="334"/>
      <c r="YB38" s="334"/>
      <c r="YC38" s="334"/>
      <c r="YD38" s="334"/>
      <c r="YE38" s="334"/>
      <c r="YF38" s="334"/>
      <c r="YG38" s="334"/>
      <c r="YH38" s="334"/>
      <c r="YI38" s="334"/>
      <c r="YJ38" s="334"/>
      <c r="YK38" s="334"/>
      <c r="YL38" s="334"/>
      <c r="YM38" s="334"/>
      <c r="YN38" s="334"/>
      <c r="YO38" s="334"/>
      <c r="YP38" s="334"/>
      <c r="YQ38" s="334"/>
      <c r="YR38" s="334"/>
      <c r="YS38" s="334"/>
      <c r="YT38" s="334"/>
      <c r="YU38" s="334"/>
      <c r="YV38" s="334"/>
      <c r="YW38" s="334"/>
      <c r="YX38" s="334"/>
      <c r="YY38" s="334"/>
      <c r="YZ38" s="334"/>
      <c r="ZA38" s="334"/>
      <c r="ZB38" s="334"/>
      <c r="ZC38" s="334"/>
      <c r="ZD38" s="334"/>
      <c r="ZE38" s="334"/>
      <c r="ZF38" s="334"/>
      <c r="ZG38" s="334"/>
      <c r="ZH38" s="334"/>
      <c r="ZI38" s="334"/>
      <c r="ZJ38" s="334"/>
      <c r="ZK38" s="334"/>
      <c r="ZL38" s="334"/>
      <c r="ZM38" s="334"/>
      <c r="ZN38" s="334"/>
      <c r="ZO38" s="334"/>
      <c r="ZP38" s="334"/>
      <c r="ZQ38" s="334"/>
      <c r="ZR38" s="334"/>
      <c r="ZS38" s="334"/>
      <c r="ZT38" s="334"/>
      <c r="ZU38" s="334"/>
      <c r="ZV38" s="334"/>
      <c r="ZW38" s="334"/>
      <c r="ZX38" s="334"/>
      <c r="ZY38" s="334"/>
      <c r="ZZ38" s="334"/>
      <c r="AAA38" s="334"/>
      <c r="AAB38" s="334"/>
      <c r="AAC38" s="334"/>
      <c r="AAD38" s="334"/>
      <c r="AAE38" s="334"/>
      <c r="AAF38" s="334"/>
      <c r="AAG38" s="334"/>
      <c r="AAH38" s="334"/>
      <c r="AAI38" s="334"/>
      <c r="AAJ38" s="334"/>
      <c r="AAK38" s="334"/>
      <c r="AAL38" s="334"/>
      <c r="AAM38" s="334"/>
      <c r="AAN38" s="334"/>
      <c r="AAO38" s="334"/>
      <c r="AAP38" s="334"/>
      <c r="AAQ38" s="334"/>
      <c r="AAR38" s="334"/>
      <c r="AAS38" s="334"/>
      <c r="AAT38" s="334"/>
      <c r="AAU38" s="334"/>
      <c r="AAV38" s="334"/>
      <c r="AAW38" s="334"/>
      <c r="AAX38" s="334"/>
      <c r="AAY38" s="334"/>
      <c r="AAZ38" s="334"/>
      <c r="ABA38" s="334"/>
      <c r="ABB38" s="334"/>
      <c r="ABC38" s="334"/>
      <c r="ABD38" s="334"/>
      <c r="ABE38" s="334"/>
      <c r="ABF38" s="334"/>
      <c r="ABG38" s="334"/>
      <c r="ABH38" s="334"/>
      <c r="ABI38" s="334"/>
      <c r="ABJ38" s="334"/>
      <c r="ABK38" s="334"/>
      <c r="ABL38" s="334"/>
      <c r="ABM38" s="334"/>
      <c r="ABN38" s="334"/>
      <c r="ABO38" s="334"/>
      <c r="ABP38" s="334"/>
      <c r="ABQ38" s="334"/>
      <c r="ABR38" s="334"/>
      <c r="ABS38" s="334"/>
      <c r="ABT38" s="334"/>
      <c r="ABU38" s="334"/>
      <c r="ABV38" s="334"/>
      <c r="ABW38" s="334"/>
      <c r="ABX38" s="334"/>
      <c r="ABY38" s="334"/>
      <c r="ABZ38" s="334"/>
      <c r="ACA38" s="334"/>
      <c r="ACB38" s="334"/>
      <c r="ACC38" s="334"/>
      <c r="ACD38" s="334"/>
      <c r="ACE38" s="334"/>
      <c r="ACF38" s="334"/>
      <c r="ACG38" s="334"/>
      <c r="ACH38" s="334"/>
      <c r="ACI38" s="334"/>
      <c r="ACJ38" s="334"/>
      <c r="ACK38" s="334"/>
      <c r="ACL38" s="334"/>
      <c r="ACM38" s="334"/>
      <c r="ACN38" s="334"/>
      <c r="ACO38" s="334"/>
      <c r="ACP38" s="334"/>
      <c r="ACQ38" s="334"/>
      <c r="ACR38" s="334"/>
      <c r="ACS38" s="334"/>
      <c r="ACT38" s="334"/>
      <c r="ACU38" s="334"/>
      <c r="ACV38" s="334"/>
      <c r="ACW38" s="334"/>
      <c r="ACX38" s="334"/>
      <c r="ACY38" s="334"/>
      <c r="ACZ38" s="334"/>
      <c r="ADA38" s="334"/>
      <c r="ADB38" s="334"/>
      <c r="ADC38" s="334"/>
      <c r="ADD38" s="334"/>
      <c r="ADE38" s="334"/>
      <c r="ADF38" s="334"/>
      <c r="ADG38" s="334"/>
      <c r="ADH38" s="334"/>
      <c r="ADI38" s="334"/>
      <c r="ADJ38" s="334"/>
      <c r="ADK38" s="334"/>
      <c r="ADL38" s="334"/>
      <c r="ADM38" s="334"/>
      <c r="ADN38" s="334"/>
      <c r="ADO38" s="334"/>
      <c r="ADP38" s="334"/>
      <c r="ADQ38" s="334"/>
      <c r="ADR38" s="334"/>
      <c r="ADS38" s="334"/>
      <c r="ADT38" s="334"/>
      <c r="ADU38" s="334"/>
      <c r="ADV38" s="334"/>
      <c r="ADW38" s="334"/>
      <c r="ADX38" s="334"/>
      <c r="ADY38" s="334"/>
      <c r="ADZ38" s="334"/>
      <c r="AEA38" s="334"/>
      <c r="AEB38" s="334"/>
      <c r="AEC38" s="334"/>
      <c r="AED38" s="334"/>
      <c r="AEE38" s="334"/>
      <c r="AEF38" s="334"/>
      <c r="AEG38" s="334"/>
      <c r="AEH38" s="334"/>
      <c r="AEI38" s="334"/>
      <c r="AEJ38" s="334"/>
      <c r="AEK38" s="334"/>
      <c r="AEL38" s="334"/>
      <c r="AEM38" s="334"/>
      <c r="AEN38" s="334"/>
      <c r="AEO38" s="334"/>
      <c r="AEP38" s="334"/>
      <c r="AEQ38" s="334"/>
      <c r="AER38" s="334"/>
      <c r="AES38" s="334"/>
      <c r="AET38" s="334"/>
      <c r="AEU38" s="334"/>
      <c r="AEV38" s="334"/>
      <c r="AEW38" s="334"/>
      <c r="AEX38" s="334"/>
      <c r="AEY38" s="334"/>
      <c r="AEZ38" s="334"/>
      <c r="AFA38" s="334"/>
      <c r="AFB38" s="334"/>
      <c r="AFC38" s="334"/>
      <c r="AFD38" s="334"/>
      <c r="AFE38" s="334"/>
      <c r="AFF38" s="334"/>
      <c r="AFG38" s="334"/>
      <c r="AFH38" s="334"/>
      <c r="AFI38" s="334"/>
      <c r="AFJ38" s="334"/>
      <c r="AFK38" s="334"/>
      <c r="AFL38" s="334"/>
      <c r="AFM38" s="334"/>
      <c r="AFN38" s="334"/>
      <c r="AFO38" s="334"/>
      <c r="AFP38" s="334"/>
      <c r="AFQ38" s="334"/>
      <c r="AFR38" s="334"/>
      <c r="AFS38" s="334"/>
      <c r="AFT38" s="334"/>
      <c r="AFU38" s="334"/>
      <c r="AFV38" s="334"/>
      <c r="AFW38" s="334"/>
      <c r="AFX38" s="334"/>
      <c r="AFY38" s="334"/>
      <c r="AFZ38" s="334"/>
      <c r="AGA38" s="334"/>
      <c r="AGB38" s="334"/>
      <c r="AGC38" s="334"/>
      <c r="AGD38" s="334"/>
      <c r="AGE38" s="334"/>
      <c r="AGF38" s="334"/>
      <c r="AGG38" s="334"/>
      <c r="AGH38" s="334"/>
      <c r="AGI38" s="334"/>
      <c r="AGJ38" s="334"/>
      <c r="AGK38" s="334"/>
      <c r="AGL38" s="334"/>
      <c r="AGM38" s="334"/>
      <c r="AGN38" s="334"/>
      <c r="AGO38" s="334"/>
      <c r="AGP38" s="334"/>
      <c r="AGQ38" s="334"/>
      <c r="AGR38" s="334"/>
      <c r="AGS38" s="334"/>
      <c r="AGT38" s="334"/>
      <c r="AGU38" s="334"/>
      <c r="AGV38" s="334"/>
      <c r="AGW38" s="334"/>
      <c r="AGX38" s="334"/>
      <c r="AGY38" s="334"/>
      <c r="AGZ38" s="334"/>
      <c r="AHA38" s="334"/>
      <c r="AHB38" s="334"/>
      <c r="AHC38" s="334"/>
      <c r="AHD38" s="334"/>
      <c r="AHE38" s="334"/>
      <c r="AHF38" s="334"/>
      <c r="AHG38" s="334"/>
      <c r="AHH38" s="334"/>
      <c r="AHI38" s="334"/>
      <c r="AHJ38" s="334"/>
      <c r="AHK38" s="334"/>
      <c r="AHL38" s="334"/>
      <c r="AHM38" s="334"/>
      <c r="AHN38" s="334"/>
      <c r="AHO38" s="334"/>
      <c r="AHP38" s="334"/>
      <c r="AHQ38" s="334"/>
      <c r="AHR38" s="334"/>
      <c r="AHS38" s="334"/>
      <c r="AHT38" s="334"/>
      <c r="AHU38" s="334"/>
      <c r="AHV38" s="334"/>
      <c r="AHW38" s="334"/>
      <c r="AHX38" s="334"/>
      <c r="AHY38" s="334"/>
      <c r="AHZ38" s="334"/>
      <c r="AIA38" s="334"/>
      <c r="AIB38" s="334"/>
      <c r="AIC38" s="334"/>
      <c r="AID38" s="334"/>
      <c r="AIE38" s="334"/>
      <c r="AIF38" s="334"/>
      <c r="AIG38" s="334"/>
      <c r="AIH38" s="334"/>
      <c r="AII38" s="334"/>
      <c r="AIJ38" s="334"/>
      <c r="AIK38" s="334"/>
      <c r="AIL38" s="334"/>
      <c r="AIM38" s="334"/>
      <c r="AIN38" s="334"/>
      <c r="AIO38" s="334"/>
      <c r="AIP38" s="334"/>
      <c r="AIQ38" s="334"/>
      <c r="AIR38" s="334"/>
      <c r="AIS38" s="334"/>
      <c r="AIT38" s="334"/>
      <c r="AIU38" s="334"/>
      <c r="AIV38" s="334"/>
      <c r="AIW38" s="334"/>
      <c r="AIX38" s="334"/>
      <c r="AIY38" s="334"/>
      <c r="AIZ38" s="334"/>
      <c r="AJA38" s="334"/>
      <c r="AJB38" s="334"/>
      <c r="AJC38" s="334"/>
      <c r="AJD38" s="334"/>
      <c r="AJE38" s="334"/>
      <c r="AJF38" s="334"/>
      <c r="AJG38" s="334"/>
      <c r="AJH38" s="334"/>
      <c r="AJI38" s="334"/>
      <c r="AJJ38" s="334"/>
      <c r="AJK38" s="334"/>
      <c r="AJL38" s="334"/>
      <c r="AJM38" s="334"/>
      <c r="AJN38" s="334"/>
      <c r="AJO38" s="334"/>
      <c r="AJP38" s="334"/>
      <c r="AJQ38" s="334"/>
      <c r="AJR38" s="334"/>
      <c r="AJS38" s="334"/>
      <c r="AJT38" s="334"/>
      <c r="AJU38" s="334"/>
      <c r="AJV38" s="334"/>
      <c r="AJW38" s="334"/>
      <c r="AJX38" s="334"/>
      <c r="AJY38" s="334"/>
      <c r="AJZ38" s="334"/>
      <c r="AKA38" s="334"/>
      <c r="AKB38" s="334"/>
      <c r="AKC38" s="334"/>
      <c r="AKD38" s="334"/>
      <c r="AKE38" s="334"/>
      <c r="AKF38" s="334"/>
      <c r="AKG38" s="334"/>
      <c r="AKH38" s="334"/>
      <c r="AKI38" s="334"/>
      <c r="AKJ38" s="334"/>
      <c r="AKK38" s="334"/>
      <c r="AKL38" s="334"/>
      <c r="AKM38" s="334"/>
      <c r="AKN38" s="334"/>
      <c r="AKO38" s="334"/>
      <c r="AKP38" s="334"/>
      <c r="AKQ38" s="334"/>
      <c r="AKR38" s="334"/>
      <c r="AKS38" s="334"/>
      <c r="AKT38" s="334"/>
      <c r="AKU38" s="334"/>
      <c r="AKV38" s="334"/>
      <c r="AKW38" s="334"/>
      <c r="AKX38" s="334"/>
      <c r="AKY38" s="334"/>
      <c r="AKZ38" s="334"/>
      <c r="ALA38" s="334"/>
      <c r="ALB38" s="334"/>
      <c r="ALC38" s="334"/>
      <c r="ALD38" s="334"/>
      <c r="ALE38" s="334"/>
      <c r="ALF38" s="334"/>
      <c r="ALG38" s="334"/>
      <c r="ALH38" s="334"/>
      <c r="ALI38" s="334"/>
      <c r="ALJ38" s="334"/>
      <c r="ALK38" s="334"/>
      <c r="ALL38" s="334"/>
      <c r="ALM38" s="334"/>
      <c r="ALN38" s="334"/>
      <c r="ALO38" s="334"/>
      <c r="ALP38" s="334"/>
      <c r="ALQ38" s="334"/>
      <c r="ALR38" s="334"/>
      <c r="ALS38" s="334"/>
      <c r="ALT38" s="334"/>
      <c r="ALU38" s="334"/>
      <c r="ALV38" s="334"/>
      <c r="ALW38" s="334"/>
      <c r="ALX38" s="334"/>
      <c r="ALY38" s="334"/>
      <c r="ALZ38" s="334"/>
      <c r="AMA38" s="334"/>
      <c r="AMB38" s="334"/>
      <c r="AMC38" s="334"/>
      <c r="AMD38" s="334"/>
      <c r="AME38" s="334"/>
      <c r="AMF38" s="334"/>
      <c r="AMG38" s="334"/>
      <c r="AMH38" s="334"/>
      <c r="AMI38" s="334"/>
      <c r="AMJ38" s="334"/>
      <c r="AMK38" s="334"/>
      <c r="AML38" s="334"/>
      <c r="AMM38" s="334"/>
      <c r="AMN38" s="334"/>
      <c r="AMO38" s="334"/>
      <c r="AMP38" s="334"/>
      <c r="AMQ38" s="334"/>
      <c r="AMR38" s="334"/>
      <c r="AMS38" s="334"/>
      <c r="AMT38" s="334"/>
      <c r="AMU38" s="334"/>
      <c r="AMV38" s="334"/>
      <c r="AMW38" s="334"/>
      <c r="AMX38" s="334"/>
      <c r="AMY38" s="334"/>
      <c r="AMZ38" s="334"/>
    </row>
    <row r="39" spans="1:1040" s="333" customFormat="1" ht="13.2" x14ac:dyDescent="0.25">
      <c r="A39" s="334"/>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5"/>
      <c r="AA39" s="335"/>
      <c r="AB39" s="335"/>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4"/>
      <c r="DE39" s="334"/>
      <c r="DF39" s="334"/>
      <c r="DG39" s="334"/>
      <c r="DH39" s="334"/>
      <c r="DI39" s="334"/>
      <c r="DJ39" s="334"/>
      <c r="DK39" s="334"/>
      <c r="DL39" s="334"/>
      <c r="DM39" s="334"/>
      <c r="DN39" s="334"/>
      <c r="DO39" s="334"/>
      <c r="DP39" s="334"/>
      <c r="DQ39" s="334"/>
      <c r="DR39" s="334"/>
      <c r="DS39" s="334"/>
      <c r="DT39" s="334"/>
      <c r="DU39" s="334"/>
      <c r="DV39" s="334"/>
      <c r="DW39" s="334"/>
      <c r="DX39" s="334"/>
      <c r="DY39" s="334"/>
      <c r="DZ39" s="334"/>
      <c r="EA39" s="334"/>
      <c r="EB39" s="334"/>
      <c r="EC39" s="334"/>
      <c r="ED39" s="334"/>
      <c r="EE39" s="334"/>
      <c r="EF39" s="334"/>
      <c r="EG39" s="334"/>
      <c r="EH39" s="334"/>
      <c r="EI39" s="334"/>
      <c r="EJ39" s="334"/>
      <c r="EK39" s="334"/>
      <c r="EL39" s="334"/>
      <c r="EM39" s="334"/>
      <c r="EN39" s="334"/>
      <c r="EO39" s="334"/>
      <c r="EP39" s="334"/>
      <c r="EQ39" s="334"/>
      <c r="ER39" s="334"/>
      <c r="ES39" s="334"/>
      <c r="ET39" s="334"/>
      <c r="EU39" s="334"/>
      <c r="EV39" s="334"/>
      <c r="EW39" s="334"/>
      <c r="EX39" s="334"/>
      <c r="EY39" s="334"/>
      <c r="EZ39" s="334"/>
      <c r="FA39" s="334"/>
      <c r="FB39" s="334"/>
      <c r="FC39" s="334"/>
      <c r="FD39" s="334"/>
      <c r="FE39" s="334"/>
      <c r="FF39" s="334"/>
      <c r="FG39" s="334"/>
      <c r="FH39" s="334"/>
      <c r="FI39" s="334"/>
      <c r="FJ39" s="334"/>
      <c r="FK39" s="334"/>
      <c r="FL39" s="334"/>
      <c r="FM39" s="334"/>
      <c r="FN39" s="334"/>
      <c r="FO39" s="334"/>
      <c r="FP39" s="334"/>
      <c r="FQ39" s="334"/>
      <c r="FR39" s="334"/>
      <c r="FS39" s="334"/>
      <c r="FT39" s="334"/>
      <c r="FU39" s="334"/>
      <c r="FV39" s="334"/>
      <c r="FW39" s="334"/>
      <c r="FX39" s="334"/>
      <c r="FY39" s="334"/>
      <c r="FZ39" s="334"/>
      <c r="GA39" s="334"/>
      <c r="GB39" s="334"/>
      <c r="GC39" s="334"/>
      <c r="GD39" s="334"/>
      <c r="GE39" s="334"/>
      <c r="GF39" s="334"/>
      <c r="GG39" s="334"/>
      <c r="GH39" s="334"/>
      <c r="GI39" s="334"/>
      <c r="GJ39" s="334"/>
      <c r="GK39" s="334"/>
      <c r="GL39" s="334"/>
      <c r="GM39" s="334"/>
      <c r="GN39" s="334"/>
      <c r="GO39" s="334"/>
      <c r="GP39" s="334"/>
      <c r="GQ39" s="334"/>
      <c r="GR39" s="334"/>
      <c r="GS39" s="334"/>
      <c r="GT39" s="334"/>
      <c r="GU39" s="334"/>
      <c r="GV39" s="334"/>
      <c r="GW39" s="334"/>
      <c r="GX39" s="334"/>
      <c r="GY39" s="334"/>
      <c r="GZ39" s="334"/>
      <c r="HA39" s="334"/>
      <c r="HB39" s="334"/>
      <c r="HC39" s="334"/>
      <c r="HD39" s="334"/>
      <c r="HE39" s="334"/>
      <c r="HF39" s="334"/>
      <c r="HG39" s="334"/>
      <c r="HH39" s="334"/>
      <c r="HI39" s="334"/>
      <c r="HJ39" s="334"/>
      <c r="HK39" s="334"/>
      <c r="HL39" s="334"/>
      <c r="HM39" s="334"/>
      <c r="HN39" s="334"/>
      <c r="HO39" s="334"/>
      <c r="HP39" s="334"/>
      <c r="HQ39" s="334"/>
      <c r="HR39" s="334"/>
      <c r="HS39" s="334"/>
      <c r="HT39" s="334"/>
      <c r="HU39" s="334"/>
      <c r="HV39" s="334"/>
      <c r="HW39" s="334"/>
      <c r="HX39" s="334"/>
      <c r="HY39" s="334"/>
      <c r="HZ39" s="334"/>
      <c r="IA39" s="334"/>
      <c r="IB39" s="334"/>
      <c r="IC39" s="334"/>
      <c r="ID39" s="334"/>
      <c r="IE39" s="334"/>
      <c r="IF39" s="334"/>
      <c r="IG39" s="334"/>
      <c r="IH39" s="334"/>
      <c r="II39" s="334"/>
      <c r="IJ39" s="334"/>
      <c r="IK39" s="334"/>
      <c r="IL39" s="334"/>
      <c r="IM39" s="334"/>
      <c r="IN39" s="334"/>
      <c r="IO39" s="334"/>
      <c r="IP39" s="334"/>
      <c r="IQ39" s="334"/>
      <c r="IR39" s="334"/>
      <c r="IS39" s="334"/>
      <c r="IT39" s="334"/>
      <c r="IU39" s="334"/>
      <c r="IV39" s="334"/>
      <c r="IW39" s="334"/>
      <c r="IX39" s="334"/>
      <c r="IY39" s="334"/>
      <c r="IZ39" s="334"/>
      <c r="JA39" s="334"/>
      <c r="JB39" s="334"/>
      <c r="JC39" s="334"/>
      <c r="JD39" s="334"/>
      <c r="JE39" s="334"/>
      <c r="JF39" s="334"/>
      <c r="JG39" s="334"/>
      <c r="JH39" s="334"/>
      <c r="JI39" s="334"/>
      <c r="JJ39" s="334"/>
      <c r="JK39" s="334"/>
      <c r="JL39" s="334"/>
      <c r="JM39" s="334"/>
      <c r="JN39" s="334"/>
      <c r="JO39" s="334"/>
      <c r="JP39" s="334"/>
      <c r="JQ39" s="334"/>
      <c r="JR39" s="334"/>
      <c r="JS39" s="334"/>
      <c r="JT39" s="334"/>
      <c r="JU39" s="334"/>
      <c r="JV39" s="334"/>
      <c r="JW39" s="334"/>
      <c r="JX39" s="334"/>
      <c r="JY39" s="334"/>
      <c r="JZ39" s="334"/>
      <c r="KA39" s="334"/>
      <c r="KB39" s="334"/>
      <c r="KC39" s="334"/>
      <c r="KD39" s="334"/>
      <c r="KE39" s="334"/>
      <c r="KF39" s="334"/>
      <c r="KG39" s="334"/>
      <c r="KH39" s="334"/>
      <c r="KI39" s="334"/>
      <c r="KJ39" s="334"/>
      <c r="KK39" s="334"/>
      <c r="KL39" s="334"/>
      <c r="KM39" s="334"/>
      <c r="KN39" s="334"/>
      <c r="KO39" s="334"/>
      <c r="KP39" s="334"/>
      <c r="KQ39" s="334"/>
      <c r="KR39" s="334"/>
      <c r="KS39" s="334"/>
      <c r="KT39" s="334"/>
      <c r="KU39" s="334"/>
      <c r="KV39" s="334"/>
      <c r="KW39" s="334"/>
      <c r="KX39" s="334"/>
      <c r="KY39" s="334"/>
      <c r="KZ39" s="334"/>
      <c r="LA39" s="334"/>
      <c r="LB39" s="334"/>
      <c r="LC39" s="334"/>
      <c r="LD39" s="334"/>
      <c r="LE39" s="334"/>
      <c r="LF39" s="334"/>
      <c r="LG39" s="334"/>
      <c r="LH39" s="334"/>
      <c r="LI39" s="334"/>
      <c r="LJ39" s="334"/>
      <c r="LK39" s="334"/>
      <c r="LL39" s="334"/>
      <c r="LM39" s="334"/>
      <c r="LN39" s="334"/>
      <c r="LO39" s="334"/>
      <c r="LP39" s="334"/>
      <c r="LQ39" s="334"/>
      <c r="LR39" s="334"/>
      <c r="LS39" s="334"/>
      <c r="LT39" s="334"/>
      <c r="LU39" s="334"/>
      <c r="LV39" s="334"/>
      <c r="LW39" s="334"/>
      <c r="LX39" s="334"/>
      <c r="LY39" s="334"/>
      <c r="LZ39" s="334"/>
      <c r="MA39" s="334"/>
      <c r="MB39" s="334"/>
      <c r="MC39" s="334"/>
      <c r="MD39" s="334"/>
      <c r="ME39" s="334"/>
      <c r="MF39" s="334"/>
      <c r="MG39" s="334"/>
      <c r="MH39" s="334"/>
      <c r="MI39" s="334"/>
      <c r="MJ39" s="334"/>
      <c r="MK39" s="334"/>
      <c r="ML39" s="334"/>
      <c r="MM39" s="334"/>
      <c r="MN39" s="334"/>
      <c r="MO39" s="334"/>
      <c r="MP39" s="334"/>
      <c r="MQ39" s="334"/>
      <c r="MR39" s="334"/>
      <c r="MS39" s="334"/>
      <c r="MT39" s="334"/>
      <c r="MU39" s="334"/>
      <c r="MV39" s="334"/>
      <c r="MW39" s="334"/>
      <c r="MX39" s="334"/>
      <c r="MY39" s="334"/>
      <c r="MZ39" s="334"/>
      <c r="NA39" s="334"/>
      <c r="NB39" s="334"/>
      <c r="NC39" s="334"/>
      <c r="ND39" s="334"/>
      <c r="NE39" s="334"/>
      <c r="NF39" s="334"/>
      <c r="NG39" s="334"/>
      <c r="NH39" s="334"/>
      <c r="NI39" s="334"/>
      <c r="NJ39" s="334"/>
      <c r="NK39" s="334"/>
      <c r="NL39" s="334"/>
      <c r="NM39" s="334"/>
      <c r="NN39" s="334"/>
      <c r="NO39" s="334"/>
      <c r="NP39" s="334"/>
      <c r="NQ39" s="334"/>
      <c r="NR39" s="334"/>
      <c r="NS39" s="334"/>
      <c r="NT39" s="334"/>
      <c r="NU39" s="334"/>
      <c r="NV39" s="334"/>
      <c r="NW39" s="334"/>
      <c r="NX39" s="334"/>
      <c r="NY39" s="334"/>
      <c r="NZ39" s="334"/>
      <c r="OA39" s="334"/>
      <c r="OB39" s="334"/>
      <c r="OC39" s="334"/>
      <c r="OD39" s="334"/>
      <c r="OE39" s="334"/>
      <c r="OF39" s="334"/>
      <c r="OG39" s="334"/>
      <c r="OH39" s="334"/>
      <c r="OI39" s="334"/>
      <c r="OJ39" s="334"/>
      <c r="OK39" s="334"/>
      <c r="OL39" s="334"/>
      <c r="OM39" s="334"/>
      <c r="ON39" s="334"/>
      <c r="OO39" s="334"/>
      <c r="OP39" s="334"/>
      <c r="OQ39" s="334"/>
      <c r="OR39" s="334"/>
      <c r="OS39" s="334"/>
      <c r="OT39" s="334"/>
      <c r="OU39" s="334"/>
      <c r="OV39" s="334"/>
      <c r="OW39" s="334"/>
      <c r="OX39" s="334"/>
      <c r="OY39" s="334"/>
      <c r="OZ39" s="334"/>
      <c r="PA39" s="334"/>
      <c r="PB39" s="334"/>
      <c r="PC39" s="334"/>
      <c r="PD39" s="334"/>
      <c r="PE39" s="334"/>
      <c r="PF39" s="334"/>
      <c r="PG39" s="334"/>
      <c r="PH39" s="334"/>
      <c r="PI39" s="334"/>
      <c r="PJ39" s="334"/>
      <c r="PK39" s="334"/>
      <c r="PL39" s="334"/>
      <c r="PM39" s="334"/>
      <c r="PN39" s="334"/>
      <c r="PO39" s="334"/>
      <c r="PP39" s="334"/>
      <c r="PQ39" s="334"/>
      <c r="PR39" s="334"/>
      <c r="PS39" s="334"/>
      <c r="PT39" s="334"/>
      <c r="PU39" s="334"/>
      <c r="PV39" s="334"/>
      <c r="PW39" s="334"/>
      <c r="PX39" s="334"/>
      <c r="PY39" s="334"/>
      <c r="PZ39" s="334"/>
      <c r="QA39" s="334"/>
      <c r="QB39" s="334"/>
      <c r="QC39" s="334"/>
      <c r="QD39" s="334"/>
      <c r="QE39" s="334"/>
      <c r="QF39" s="334"/>
      <c r="QG39" s="334"/>
      <c r="QH39" s="334"/>
      <c r="QI39" s="334"/>
      <c r="QJ39" s="334"/>
      <c r="QK39" s="334"/>
      <c r="QL39" s="334"/>
      <c r="QM39" s="334"/>
      <c r="QN39" s="334"/>
      <c r="QO39" s="334"/>
      <c r="QP39" s="334"/>
      <c r="QQ39" s="334"/>
      <c r="QR39" s="334"/>
      <c r="QS39" s="334"/>
      <c r="QT39" s="334"/>
      <c r="QU39" s="334"/>
      <c r="QV39" s="334"/>
      <c r="QW39" s="334"/>
      <c r="QX39" s="334"/>
      <c r="QY39" s="334"/>
      <c r="QZ39" s="334"/>
      <c r="RA39" s="334"/>
      <c r="RB39" s="334"/>
      <c r="RC39" s="334"/>
      <c r="RD39" s="334"/>
      <c r="RE39" s="334"/>
      <c r="RF39" s="334"/>
      <c r="RG39" s="334"/>
      <c r="RH39" s="334"/>
      <c r="RI39" s="334"/>
      <c r="RJ39" s="334"/>
      <c r="RK39" s="334"/>
      <c r="RL39" s="334"/>
      <c r="RM39" s="334"/>
      <c r="RN39" s="334"/>
      <c r="RO39" s="334"/>
      <c r="RP39" s="334"/>
      <c r="RQ39" s="334"/>
      <c r="RR39" s="334"/>
      <c r="RS39" s="334"/>
      <c r="RT39" s="334"/>
      <c r="RU39" s="334"/>
      <c r="RV39" s="334"/>
      <c r="RW39" s="334"/>
      <c r="RX39" s="334"/>
      <c r="RY39" s="334"/>
      <c r="RZ39" s="334"/>
      <c r="SA39" s="334"/>
      <c r="SB39" s="334"/>
      <c r="SC39" s="334"/>
      <c r="SD39" s="334"/>
      <c r="SE39" s="334"/>
      <c r="SF39" s="334"/>
      <c r="SG39" s="334"/>
      <c r="SH39" s="334"/>
      <c r="SI39" s="334"/>
      <c r="SJ39" s="334"/>
      <c r="SK39" s="334"/>
      <c r="SL39" s="334"/>
      <c r="SM39" s="334"/>
      <c r="SN39" s="334"/>
      <c r="SO39" s="334"/>
      <c r="SP39" s="334"/>
      <c r="SQ39" s="334"/>
      <c r="SR39" s="334"/>
      <c r="SS39" s="334"/>
      <c r="ST39" s="334"/>
      <c r="SU39" s="334"/>
      <c r="SV39" s="334"/>
      <c r="SW39" s="334"/>
      <c r="SX39" s="334"/>
      <c r="SY39" s="334"/>
      <c r="SZ39" s="334"/>
      <c r="TA39" s="334"/>
      <c r="TB39" s="334"/>
      <c r="TC39" s="334"/>
      <c r="TD39" s="334"/>
      <c r="TE39" s="334"/>
      <c r="TF39" s="334"/>
      <c r="TG39" s="334"/>
      <c r="TH39" s="334"/>
      <c r="TI39" s="334"/>
      <c r="TJ39" s="334"/>
      <c r="TK39" s="334"/>
      <c r="TL39" s="334"/>
      <c r="TM39" s="334"/>
      <c r="TN39" s="334"/>
      <c r="TO39" s="334"/>
      <c r="TP39" s="334"/>
      <c r="TQ39" s="334"/>
      <c r="TR39" s="334"/>
      <c r="TS39" s="334"/>
      <c r="TT39" s="334"/>
      <c r="TU39" s="334"/>
      <c r="TV39" s="334"/>
      <c r="TW39" s="334"/>
      <c r="TX39" s="334"/>
      <c r="TY39" s="334"/>
      <c r="TZ39" s="334"/>
      <c r="UA39" s="334"/>
      <c r="UB39" s="334"/>
      <c r="UC39" s="334"/>
      <c r="UD39" s="334"/>
      <c r="UE39" s="334"/>
      <c r="UF39" s="334"/>
      <c r="UG39" s="334"/>
      <c r="UH39" s="334"/>
      <c r="UI39" s="334"/>
      <c r="UJ39" s="334"/>
      <c r="UK39" s="334"/>
      <c r="UL39" s="334"/>
      <c r="UM39" s="334"/>
      <c r="UN39" s="334"/>
      <c r="UO39" s="334"/>
      <c r="UP39" s="334"/>
      <c r="UQ39" s="334"/>
      <c r="UR39" s="334"/>
      <c r="US39" s="334"/>
      <c r="UT39" s="334"/>
      <c r="UU39" s="334"/>
      <c r="UV39" s="334"/>
      <c r="UW39" s="334"/>
      <c r="UX39" s="334"/>
      <c r="UY39" s="334"/>
      <c r="UZ39" s="334"/>
      <c r="VA39" s="334"/>
      <c r="VB39" s="334"/>
      <c r="VC39" s="334"/>
      <c r="VD39" s="334"/>
      <c r="VE39" s="334"/>
      <c r="VF39" s="334"/>
      <c r="VG39" s="334"/>
      <c r="VH39" s="334"/>
      <c r="VI39" s="334"/>
      <c r="VJ39" s="334"/>
      <c r="VK39" s="334"/>
      <c r="VL39" s="334"/>
      <c r="VM39" s="334"/>
      <c r="VN39" s="334"/>
      <c r="VO39" s="334"/>
      <c r="VP39" s="334"/>
      <c r="VQ39" s="334"/>
      <c r="VR39" s="334"/>
      <c r="VS39" s="334"/>
      <c r="VT39" s="334"/>
      <c r="VU39" s="334"/>
      <c r="VV39" s="334"/>
      <c r="VW39" s="334"/>
      <c r="VX39" s="334"/>
      <c r="VY39" s="334"/>
      <c r="VZ39" s="334"/>
      <c r="WA39" s="334"/>
      <c r="WB39" s="334"/>
      <c r="WC39" s="334"/>
      <c r="WD39" s="334"/>
      <c r="WE39" s="334"/>
      <c r="WF39" s="334"/>
      <c r="WG39" s="334"/>
      <c r="WH39" s="334"/>
      <c r="WI39" s="334"/>
      <c r="WJ39" s="334"/>
      <c r="WK39" s="334"/>
      <c r="WL39" s="334"/>
      <c r="WM39" s="334"/>
      <c r="WN39" s="334"/>
      <c r="WO39" s="334"/>
      <c r="WP39" s="334"/>
      <c r="WQ39" s="334"/>
      <c r="WR39" s="334"/>
      <c r="WS39" s="334"/>
      <c r="WT39" s="334"/>
      <c r="WU39" s="334"/>
      <c r="WV39" s="334"/>
      <c r="WW39" s="334"/>
      <c r="WX39" s="334"/>
      <c r="WY39" s="334"/>
      <c r="WZ39" s="334"/>
      <c r="XA39" s="334"/>
      <c r="XB39" s="334"/>
      <c r="XC39" s="334"/>
      <c r="XD39" s="334"/>
      <c r="XE39" s="334"/>
      <c r="XF39" s="334"/>
      <c r="XG39" s="334"/>
      <c r="XH39" s="334"/>
      <c r="XI39" s="334"/>
      <c r="XJ39" s="334"/>
      <c r="XK39" s="334"/>
      <c r="XL39" s="334"/>
      <c r="XM39" s="334"/>
      <c r="XN39" s="334"/>
      <c r="XO39" s="334"/>
      <c r="XP39" s="334"/>
      <c r="XQ39" s="334"/>
      <c r="XR39" s="334"/>
      <c r="XS39" s="334"/>
      <c r="XT39" s="334"/>
      <c r="XU39" s="334"/>
      <c r="XV39" s="334"/>
      <c r="XW39" s="334"/>
      <c r="XX39" s="334"/>
      <c r="XY39" s="334"/>
      <c r="XZ39" s="334"/>
      <c r="YA39" s="334"/>
      <c r="YB39" s="334"/>
      <c r="YC39" s="334"/>
      <c r="YD39" s="334"/>
      <c r="YE39" s="334"/>
      <c r="YF39" s="334"/>
      <c r="YG39" s="334"/>
      <c r="YH39" s="334"/>
      <c r="YI39" s="334"/>
      <c r="YJ39" s="334"/>
      <c r="YK39" s="334"/>
      <c r="YL39" s="334"/>
      <c r="YM39" s="334"/>
      <c r="YN39" s="334"/>
      <c r="YO39" s="334"/>
      <c r="YP39" s="334"/>
      <c r="YQ39" s="334"/>
      <c r="YR39" s="334"/>
      <c r="YS39" s="334"/>
      <c r="YT39" s="334"/>
      <c r="YU39" s="334"/>
      <c r="YV39" s="334"/>
      <c r="YW39" s="334"/>
      <c r="YX39" s="334"/>
      <c r="YY39" s="334"/>
      <c r="YZ39" s="334"/>
      <c r="ZA39" s="334"/>
      <c r="ZB39" s="334"/>
      <c r="ZC39" s="334"/>
      <c r="ZD39" s="334"/>
      <c r="ZE39" s="334"/>
      <c r="ZF39" s="334"/>
      <c r="ZG39" s="334"/>
      <c r="ZH39" s="334"/>
      <c r="ZI39" s="334"/>
      <c r="ZJ39" s="334"/>
      <c r="ZK39" s="334"/>
      <c r="ZL39" s="334"/>
      <c r="ZM39" s="334"/>
      <c r="ZN39" s="334"/>
      <c r="ZO39" s="334"/>
      <c r="ZP39" s="334"/>
      <c r="ZQ39" s="334"/>
      <c r="ZR39" s="334"/>
      <c r="ZS39" s="334"/>
      <c r="ZT39" s="334"/>
      <c r="ZU39" s="334"/>
      <c r="ZV39" s="334"/>
      <c r="ZW39" s="334"/>
      <c r="ZX39" s="334"/>
      <c r="ZY39" s="334"/>
      <c r="ZZ39" s="334"/>
      <c r="AAA39" s="334"/>
      <c r="AAB39" s="334"/>
      <c r="AAC39" s="334"/>
      <c r="AAD39" s="334"/>
      <c r="AAE39" s="334"/>
      <c r="AAF39" s="334"/>
      <c r="AAG39" s="334"/>
      <c r="AAH39" s="334"/>
      <c r="AAI39" s="334"/>
      <c r="AAJ39" s="334"/>
      <c r="AAK39" s="334"/>
      <c r="AAL39" s="334"/>
      <c r="AAM39" s="334"/>
      <c r="AAN39" s="334"/>
      <c r="AAO39" s="334"/>
      <c r="AAP39" s="334"/>
      <c r="AAQ39" s="334"/>
      <c r="AAR39" s="334"/>
      <c r="AAS39" s="334"/>
      <c r="AAT39" s="334"/>
      <c r="AAU39" s="334"/>
      <c r="AAV39" s="334"/>
      <c r="AAW39" s="334"/>
      <c r="AAX39" s="334"/>
      <c r="AAY39" s="334"/>
      <c r="AAZ39" s="334"/>
      <c r="ABA39" s="334"/>
      <c r="ABB39" s="334"/>
      <c r="ABC39" s="334"/>
      <c r="ABD39" s="334"/>
      <c r="ABE39" s="334"/>
      <c r="ABF39" s="334"/>
      <c r="ABG39" s="334"/>
      <c r="ABH39" s="334"/>
      <c r="ABI39" s="334"/>
      <c r="ABJ39" s="334"/>
      <c r="ABK39" s="334"/>
      <c r="ABL39" s="334"/>
      <c r="ABM39" s="334"/>
      <c r="ABN39" s="334"/>
      <c r="ABO39" s="334"/>
      <c r="ABP39" s="334"/>
      <c r="ABQ39" s="334"/>
      <c r="ABR39" s="334"/>
      <c r="ABS39" s="334"/>
      <c r="ABT39" s="334"/>
      <c r="ABU39" s="334"/>
      <c r="ABV39" s="334"/>
      <c r="ABW39" s="334"/>
      <c r="ABX39" s="334"/>
      <c r="ABY39" s="334"/>
      <c r="ABZ39" s="334"/>
      <c r="ACA39" s="334"/>
      <c r="ACB39" s="334"/>
      <c r="ACC39" s="334"/>
      <c r="ACD39" s="334"/>
      <c r="ACE39" s="334"/>
      <c r="ACF39" s="334"/>
      <c r="ACG39" s="334"/>
      <c r="ACH39" s="334"/>
      <c r="ACI39" s="334"/>
      <c r="ACJ39" s="334"/>
      <c r="ACK39" s="334"/>
      <c r="ACL39" s="334"/>
      <c r="ACM39" s="334"/>
      <c r="ACN39" s="334"/>
      <c r="ACO39" s="334"/>
      <c r="ACP39" s="334"/>
      <c r="ACQ39" s="334"/>
      <c r="ACR39" s="334"/>
      <c r="ACS39" s="334"/>
      <c r="ACT39" s="334"/>
      <c r="ACU39" s="334"/>
      <c r="ACV39" s="334"/>
      <c r="ACW39" s="334"/>
      <c r="ACX39" s="334"/>
      <c r="ACY39" s="334"/>
      <c r="ACZ39" s="334"/>
      <c r="ADA39" s="334"/>
      <c r="ADB39" s="334"/>
      <c r="ADC39" s="334"/>
      <c r="ADD39" s="334"/>
      <c r="ADE39" s="334"/>
      <c r="ADF39" s="334"/>
      <c r="ADG39" s="334"/>
      <c r="ADH39" s="334"/>
      <c r="ADI39" s="334"/>
      <c r="ADJ39" s="334"/>
      <c r="ADK39" s="334"/>
      <c r="ADL39" s="334"/>
      <c r="ADM39" s="334"/>
      <c r="ADN39" s="334"/>
      <c r="ADO39" s="334"/>
      <c r="ADP39" s="334"/>
      <c r="ADQ39" s="334"/>
      <c r="ADR39" s="334"/>
      <c r="ADS39" s="334"/>
      <c r="ADT39" s="334"/>
      <c r="ADU39" s="334"/>
      <c r="ADV39" s="334"/>
      <c r="ADW39" s="334"/>
      <c r="ADX39" s="334"/>
      <c r="ADY39" s="334"/>
      <c r="ADZ39" s="334"/>
      <c r="AEA39" s="334"/>
      <c r="AEB39" s="334"/>
      <c r="AEC39" s="334"/>
      <c r="AED39" s="334"/>
      <c r="AEE39" s="334"/>
      <c r="AEF39" s="334"/>
      <c r="AEG39" s="334"/>
      <c r="AEH39" s="334"/>
      <c r="AEI39" s="334"/>
      <c r="AEJ39" s="334"/>
      <c r="AEK39" s="334"/>
      <c r="AEL39" s="334"/>
      <c r="AEM39" s="334"/>
      <c r="AEN39" s="334"/>
      <c r="AEO39" s="334"/>
      <c r="AEP39" s="334"/>
      <c r="AEQ39" s="334"/>
      <c r="AER39" s="334"/>
      <c r="AES39" s="334"/>
      <c r="AET39" s="334"/>
      <c r="AEU39" s="334"/>
      <c r="AEV39" s="334"/>
      <c r="AEW39" s="334"/>
      <c r="AEX39" s="334"/>
      <c r="AEY39" s="334"/>
      <c r="AEZ39" s="334"/>
      <c r="AFA39" s="334"/>
      <c r="AFB39" s="334"/>
      <c r="AFC39" s="334"/>
      <c r="AFD39" s="334"/>
      <c r="AFE39" s="334"/>
      <c r="AFF39" s="334"/>
      <c r="AFG39" s="334"/>
      <c r="AFH39" s="334"/>
      <c r="AFI39" s="334"/>
      <c r="AFJ39" s="334"/>
      <c r="AFK39" s="334"/>
      <c r="AFL39" s="334"/>
      <c r="AFM39" s="334"/>
      <c r="AFN39" s="334"/>
      <c r="AFO39" s="334"/>
      <c r="AFP39" s="334"/>
      <c r="AFQ39" s="334"/>
      <c r="AFR39" s="334"/>
      <c r="AFS39" s="334"/>
      <c r="AFT39" s="334"/>
      <c r="AFU39" s="334"/>
      <c r="AFV39" s="334"/>
      <c r="AFW39" s="334"/>
      <c r="AFX39" s="334"/>
      <c r="AFY39" s="334"/>
      <c r="AFZ39" s="334"/>
      <c r="AGA39" s="334"/>
      <c r="AGB39" s="334"/>
      <c r="AGC39" s="334"/>
      <c r="AGD39" s="334"/>
      <c r="AGE39" s="334"/>
      <c r="AGF39" s="334"/>
      <c r="AGG39" s="334"/>
      <c r="AGH39" s="334"/>
      <c r="AGI39" s="334"/>
      <c r="AGJ39" s="334"/>
      <c r="AGK39" s="334"/>
      <c r="AGL39" s="334"/>
      <c r="AGM39" s="334"/>
      <c r="AGN39" s="334"/>
      <c r="AGO39" s="334"/>
      <c r="AGP39" s="334"/>
      <c r="AGQ39" s="334"/>
      <c r="AGR39" s="334"/>
      <c r="AGS39" s="334"/>
      <c r="AGT39" s="334"/>
      <c r="AGU39" s="334"/>
      <c r="AGV39" s="334"/>
      <c r="AGW39" s="334"/>
      <c r="AGX39" s="334"/>
      <c r="AGY39" s="334"/>
      <c r="AGZ39" s="334"/>
      <c r="AHA39" s="334"/>
      <c r="AHB39" s="334"/>
      <c r="AHC39" s="334"/>
      <c r="AHD39" s="334"/>
      <c r="AHE39" s="334"/>
      <c r="AHF39" s="334"/>
      <c r="AHG39" s="334"/>
      <c r="AHH39" s="334"/>
      <c r="AHI39" s="334"/>
      <c r="AHJ39" s="334"/>
      <c r="AHK39" s="334"/>
      <c r="AHL39" s="334"/>
      <c r="AHM39" s="334"/>
      <c r="AHN39" s="334"/>
      <c r="AHO39" s="334"/>
      <c r="AHP39" s="334"/>
      <c r="AHQ39" s="334"/>
      <c r="AHR39" s="334"/>
      <c r="AHS39" s="334"/>
      <c r="AHT39" s="334"/>
      <c r="AHU39" s="334"/>
      <c r="AHV39" s="334"/>
      <c r="AHW39" s="334"/>
      <c r="AHX39" s="334"/>
      <c r="AHY39" s="334"/>
      <c r="AHZ39" s="334"/>
      <c r="AIA39" s="334"/>
      <c r="AIB39" s="334"/>
      <c r="AIC39" s="334"/>
      <c r="AID39" s="334"/>
      <c r="AIE39" s="334"/>
      <c r="AIF39" s="334"/>
      <c r="AIG39" s="334"/>
      <c r="AIH39" s="334"/>
      <c r="AII39" s="334"/>
      <c r="AIJ39" s="334"/>
      <c r="AIK39" s="334"/>
      <c r="AIL39" s="334"/>
      <c r="AIM39" s="334"/>
      <c r="AIN39" s="334"/>
      <c r="AIO39" s="334"/>
      <c r="AIP39" s="334"/>
      <c r="AIQ39" s="334"/>
      <c r="AIR39" s="334"/>
      <c r="AIS39" s="334"/>
      <c r="AIT39" s="334"/>
      <c r="AIU39" s="334"/>
      <c r="AIV39" s="334"/>
      <c r="AIW39" s="334"/>
      <c r="AIX39" s="334"/>
      <c r="AIY39" s="334"/>
      <c r="AIZ39" s="334"/>
      <c r="AJA39" s="334"/>
      <c r="AJB39" s="334"/>
      <c r="AJC39" s="334"/>
      <c r="AJD39" s="334"/>
      <c r="AJE39" s="334"/>
      <c r="AJF39" s="334"/>
      <c r="AJG39" s="334"/>
      <c r="AJH39" s="334"/>
      <c r="AJI39" s="334"/>
      <c r="AJJ39" s="334"/>
      <c r="AJK39" s="334"/>
      <c r="AJL39" s="334"/>
      <c r="AJM39" s="334"/>
      <c r="AJN39" s="334"/>
      <c r="AJO39" s="334"/>
      <c r="AJP39" s="334"/>
      <c r="AJQ39" s="334"/>
      <c r="AJR39" s="334"/>
      <c r="AJS39" s="334"/>
      <c r="AJT39" s="334"/>
      <c r="AJU39" s="334"/>
      <c r="AJV39" s="334"/>
      <c r="AJW39" s="334"/>
      <c r="AJX39" s="334"/>
      <c r="AJY39" s="334"/>
      <c r="AJZ39" s="334"/>
      <c r="AKA39" s="334"/>
      <c r="AKB39" s="334"/>
      <c r="AKC39" s="334"/>
      <c r="AKD39" s="334"/>
      <c r="AKE39" s="334"/>
      <c r="AKF39" s="334"/>
      <c r="AKG39" s="334"/>
      <c r="AKH39" s="334"/>
      <c r="AKI39" s="334"/>
      <c r="AKJ39" s="334"/>
      <c r="AKK39" s="334"/>
      <c r="AKL39" s="334"/>
      <c r="AKM39" s="334"/>
      <c r="AKN39" s="334"/>
      <c r="AKO39" s="334"/>
      <c r="AKP39" s="334"/>
      <c r="AKQ39" s="334"/>
      <c r="AKR39" s="334"/>
      <c r="AKS39" s="334"/>
      <c r="AKT39" s="334"/>
      <c r="AKU39" s="334"/>
      <c r="AKV39" s="334"/>
      <c r="AKW39" s="334"/>
      <c r="AKX39" s="334"/>
      <c r="AKY39" s="334"/>
      <c r="AKZ39" s="334"/>
      <c r="ALA39" s="334"/>
      <c r="ALB39" s="334"/>
      <c r="ALC39" s="334"/>
      <c r="ALD39" s="334"/>
      <c r="ALE39" s="334"/>
      <c r="ALF39" s="334"/>
      <c r="ALG39" s="334"/>
      <c r="ALH39" s="334"/>
      <c r="ALI39" s="334"/>
      <c r="ALJ39" s="334"/>
      <c r="ALK39" s="334"/>
      <c r="ALL39" s="334"/>
      <c r="ALM39" s="334"/>
      <c r="ALN39" s="334"/>
      <c r="ALO39" s="334"/>
      <c r="ALP39" s="334"/>
      <c r="ALQ39" s="334"/>
      <c r="ALR39" s="334"/>
      <c r="ALS39" s="334"/>
      <c r="ALT39" s="334"/>
      <c r="ALU39" s="334"/>
      <c r="ALV39" s="334"/>
      <c r="ALW39" s="334"/>
      <c r="ALX39" s="334"/>
      <c r="ALY39" s="334"/>
      <c r="ALZ39" s="334"/>
      <c r="AMA39" s="334"/>
      <c r="AMB39" s="334"/>
      <c r="AMC39" s="334"/>
      <c r="AMD39" s="334"/>
      <c r="AME39" s="334"/>
      <c r="AMF39" s="334"/>
      <c r="AMG39" s="334"/>
      <c r="AMH39" s="334"/>
      <c r="AMI39" s="334"/>
      <c r="AMJ39" s="334"/>
      <c r="AMK39" s="334"/>
      <c r="AML39" s="334"/>
      <c r="AMM39" s="334"/>
      <c r="AMN39" s="334"/>
      <c r="AMO39" s="334"/>
      <c r="AMP39" s="334"/>
      <c r="AMQ39" s="334"/>
      <c r="AMR39" s="334"/>
      <c r="AMS39" s="334"/>
      <c r="AMT39" s="334"/>
      <c r="AMU39" s="334"/>
      <c r="AMV39" s="334"/>
      <c r="AMW39" s="334"/>
      <c r="AMX39" s="334"/>
      <c r="AMY39" s="334"/>
      <c r="AMZ39" s="334"/>
    </row>
    <row r="40" spans="1:1040" s="333" customFormat="1" ht="13.2" x14ac:dyDescent="0.25">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5"/>
      <c r="AA40" s="335"/>
      <c r="AB40" s="335"/>
      <c r="AW40" s="334"/>
      <c r="AX40" s="334"/>
      <c r="AY40" s="334"/>
      <c r="AZ40" s="334"/>
      <c r="BA40" s="334"/>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c r="EP40" s="334"/>
      <c r="EQ40" s="334"/>
      <c r="ER40" s="334"/>
      <c r="ES40" s="334"/>
      <c r="ET40" s="334"/>
      <c r="EU40" s="334"/>
      <c r="EV40" s="334"/>
      <c r="EW40" s="334"/>
      <c r="EX40" s="334"/>
      <c r="EY40" s="334"/>
      <c r="EZ40" s="334"/>
      <c r="FA40" s="334"/>
      <c r="FB40" s="334"/>
      <c r="FC40" s="334"/>
      <c r="FD40" s="334"/>
      <c r="FE40" s="334"/>
      <c r="FF40" s="334"/>
      <c r="FG40" s="334"/>
      <c r="FH40" s="334"/>
      <c r="FI40" s="334"/>
      <c r="FJ40" s="334"/>
      <c r="FK40" s="334"/>
      <c r="FL40" s="334"/>
      <c r="FM40" s="334"/>
      <c r="FN40" s="334"/>
      <c r="FO40" s="334"/>
      <c r="FP40" s="334"/>
      <c r="FQ40" s="334"/>
      <c r="FR40" s="334"/>
      <c r="FS40" s="334"/>
      <c r="FT40" s="334"/>
      <c r="FU40" s="334"/>
      <c r="FV40" s="334"/>
      <c r="FW40" s="334"/>
      <c r="FX40" s="334"/>
      <c r="FY40" s="334"/>
      <c r="FZ40" s="334"/>
      <c r="GA40" s="334"/>
      <c r="GB40" s="334"/>
      <c r="GC40" s="334"/>
      <c r="GD40" s="334"/>
      <c r="GE40" s="334"/>
      <c r="GF40" s="334"/>
      <c r="GG40" s="334"/>
      <c r="GH40" s="334"/>
      <c r="GI40" s="334"/>
      <c r="GJ40" s="334"/>
      <c r="GK40" s="334"/>
      <c r="GL40" s="334"/>
      <c r="GM40" s="334"/>
      <c r="GN40" s="334"/>
      <c r="GO40" s="334"/>
      <c r="GP40" s="334"/>
      <c r="GQ40" s="334"/>
      <c r="GR40" s="334"/>
      <c r="GS40" s="334"/>
      <c r="GT40" s="334"/>
      <c r="GU40" s="334"/>
      <c r="GV40" s="334"/>
      <c r="GW40" s="334"/>
      <c r="GX40" s="334"/>
      <c r="GY40" s="334"/>
      <c r="GZ40" s="334"/>
      <c r="HA40" s="334"/>
      <c r="HB40" s="334"/>
      <c r="HC40" s="334"/>
      <c r="HD40" s="334"/>
      <c r="HE40" s="334"/>
      <c r="HF40" s="334"/>
      <c r="HG40" s="334"/>
      <c r="HH40" s="334"/>
      <c r="HI40" s="334"/>
      <c r="HJ40" s="334"/>
      <c r="HK40" s="334"/>
      <c r="HL40" s="334"/>
      <c r="HM40" s="334"/>
      <c r="HN40" s="334"/>
      <c r="HO40" s="334"/>
      <c r="HP40" s="334"/>
      <c r="HQ40" s="334"/>
      <c r="HR40" s="334"/>
      <c r="HS40" s="334"/>
      <c r="HT40" s="334"/>
      <c r="HU40" s="334"/>
      <c r="HV40" s="334"/>
      <c r="HW40" s="334"/>
      <c r="HX40" s="334"/>
      <c r="HY40" s="334"/>
      <c r="HZ40" s="334"/>
      <c r="IA40" s="334"/>
      <c r="IB40" s="334"/>
      <c r="IC40" s="334"/>
      <c r="ID40" s="334"/>
      <c r="IE40" s="334"/>
      <c r="IF40" s="334"/>
      <c r="IG40" s="334"/>
      <c r="IH40" s="334"/>
      <c r="II40" s="334"/>
      <c r="IJ40" s="334"/>
      <c r="IK40" s="334"/>
      <c r="IL40" s="334"/>
      <c r="IM40" s="334"/>
      <c r="IN40" s="334"/>
      <c r="IO40" s="334"/>
      <c r="IP40" s="334"/>
      <c r="IQ40" s="334"/>
      <c r="IR40" s="334"/>
      <c r="IS40" s="334"/>
      <c r="IT40" s="334"/>
      <c r="IU40" s="334"/>
      <c r="IV40" s="334"/>
      <c r="IW40" s="334"/>
      <c r="IX40" s="334"/>
      <c r="IY40" s="334"/>
      <c r="IZ40" s="334"/>
      <c r="JA40" s="334"/>
      <c r="JB40" s="334"/>
      <c r="JC40" s="334"/>
      <c r="JD40" s="334"/>
      <c r="JE40" s="334"/>
      <c r="JF40" s="334"/>
      <c r="JG40" s="334"/>
      <c r="JH40" s="334"/>
      <c r="JI40" s="334"/>
      <c r="JJ40" s="334"/>
      <c r="JK40" s="334"/>
      <c r="JL40" s="334"/>
      <c r="JM40" s="334"/>
      <c r="JN40" s="334"/>
      <c r="JO40" s="334"/>
      <c r="JP40" s="334"/>
      <c r="JQ40" s="334"/>
      <c r="JR40" s="334"/>
      <c r="JS40" s="334"/>
      <c r="JT40" s="334"/>
      <c r="JU40" s="334"/>
      <c r="JV40" s="334"/>
      <c r="JW40" s="334"/>
      <c r="JX40" s="334"/>
      <c r="JY40" s="334"/>
      <c r="JZ40" s="334"/>
      <c r="KA40" s="334"/>
      <c r="KB40" s="334"/>
      <c r="KC40" s="334"/>
      <c r="KD40" s="334"/>
      <c r="KE40" s="334"/>
      <c r="KF40" s="334"/>
      <c r="KG40" s="334"/>
      <c r="KH40" s="334"/>
      <c r="KI40" s="334"/>
      <c r="KJ40" s="334"/>
      <c r="KK40" s="334"/>
      <c r="KL40" s="334"/>
      <c r="KM40" s="334"/>
      <c r="KN40" s="334"/>
      <c r="KO40" s="334"/>
      <c r="KP40" s="334"/>
      <c r="KQ40" s="334"/>
      <c r="KR40" s="334"/>
      <c r="KS40" s="334"/>
      <c r="KT40" s="334"/>
      <c r="KU40" s="334"/>
      <c r="KV40" s="334"/>
      <c r="KW40" s="334"/>
      <c r="KX40" s="334"/>
      <c r="KY40" s="334"/>
      <c r="KZ40" s="334"/>
      <c r="LA40" s="334"/>
      <c r="LB40" s="334"/>
      <c r="LC40" s="334"/>
      <c r="LD40" s="334"/>
      <c r="LE40" s="334"/>
      <c r="LF40" s="334"/>
      <c r="LG40" s="334"/>
      <c r="LH40" s="334"/>
      <c r="LI40" s="334"/>
      <c r="LJ40" s="334"/>
      <c r="LK40" s="334"/>
      <c r="LL40" s="334"/>
      <c r="LM40" s="334"/>
      <c r="LN40" s="334"/>
      <c r="LO40" s="334"/>
      <c r="LP40" s="334"/>
      <c r="LQ40" s="334"/>
      <c r="LR40" s="334"/>
      <c r="LS40" s="334"/>
      <c r="LT40" s="334"/>
      <c r="LU40" s="334"/>
      <c r="LV40" s="334"/>
      <c r="LW40" s="334"/>
      <c r="LX40" s="334"/>
      <c r="LY40" s="334"/>
      <c r="LZ40" s="334"/>
      <c r="MA40" s="334"/>
      <c r="MB40" s="334"/>
      <c r="MC40" s="334"/>
      <c r="MD40" s="334"/>
      <c r="ME40" s="334"/>
      <c r="MF40" s="334"/>
      <c r="MG40" s="334"/>
      <c r="MH40" s="334"/>
      <c r="MI40" s="334"/>
      <c r="MJ40" s="334"/>
      <c r="MK40" s="334"/>
      <c r="ML40" s="334"/>
      <c r="MM40" s="334"/>
      <c r="MN40" s="334"/>
      <c r="MO40" s="334"/>
      <c r="MP40" s="334"/>
      <c r="MQ40" s="334"/>
      <c r="MR40" s="334"/>
      <c r="MS40" s="334"/>
      <c r="MT40" s="334"/>
      <c r="MU40" s="334"/>
      <c r="MV40" s="334"/>
      <c r="MW40" s="334"/>
      <c r="MX40" s="334"/>
      <c r="MY40" s="334"/>
      <c r="MZ40" s="334"/>
      <c r="NA40" s="334"/>
      <c r="NB40" s="334"/>
      <c r="NC40" s="334"/>
      <c r="ND40" s="334"/>
      <c r="NE40" s="334"/>
      <c r="NF40" s="334"/>
      <c r="NG40" s="334"/>
      <c r="NH40" s="334"/>
      <c r="NI40" s="334"/>
      <c r="NJ40" s="334"/>
      <c r="NK40" s="334"/>
      <c r="NL40" s="334"/>
      <c r="NM40" s="334"/>
      <c r="NN40" s="334"/>
      <c r="NO40" s="334"/>
      <c r="NP40" s="334"/>
      <c r="NQ40" s="334"/>
      <c r="NR40" s="334"/>
      <c r="NS40" s="334"/>
      <c r="NT40" s="334"/>
      <c r="NU40" s="334"/>
      <c r="NV40" s="334"/>
      <c r="NW40" s="334"/>
      <c r="NX40" s="334"/>
      <c r="NY40" s="334"/>
      <c r="NZ40" s="334"/>
      <c r="OA40" s="334"/>
      <c r="OB40" s="334"/>
      <c r="OC40" s="334"/>
      <c r="OD40" s="334"/>
      <c r="OE40" s="334"/>
      <c r="OF40" s="334"/>
      <c r="OG40" s="334"/>
      <c r="OH40" s="334"/>
      <c r="OI40" s="334"/>
      <c r="OJ40" s="334"/>
      <c r="OK40" s="334"/>
      <c r="OL40" s="334"/>
      <c r="OM40" s="334"/>
      <c r="ON40" s="334"/>
      <c r="OO40" s="334"/>
      <c r="OP40" s="334"/>
      <c r="OQ40" s="334"/>
      <c r="OR40" s="334"/>
      <c r="OS40" s="334"/>
      <c r="OT40" s="334"/>
      <c r="OU40" s="334"/>
      <c r="OV40" s="334"/>
      <c r="OW40" s="334"/>
      <c r="OX40" s="334"/>
      <c r="OY40" s="334"/>
      <c r="OZ40" s="334"/>
      <c r="PA40" s="334"/>
      <c r="PB40" s="334"/>
      <c r="PC40" s="334"/>
      <c r="PD40" s="334"/>
      <c r="PE40" s="334"/>
      <c r="PF40" s="334"/>
      <c r="PG40" s="334"/>
      <c r="PH40" s="334"/>
      <c r="PI40" s="334"/>
      <c r="PJ40" s="334"/>
      <c r="PK40" s="334"/>
      <c r="PL40" s="334"/>
      <c r="PM40" s="334"/>
      <c r="PN40" s="334"/>
      <c r="PO40" s="334"/>
      <c r="PP40" s="334"/>
      <c r="PQ40" s="334"/>
      <c r="PR40" s="334"/>
      <c r="PS40" s="334"/>
      <c r="PT40" s="334"/>
      <c r="PU40" s="334"/>
      <c r="PV40" s="334"/>
      <c r="PW40" s="334"/>
      <c r="PX40" s="334"/>
      <c r="PY40" s="334"/>
      <c r="PZ40" s="334"/>
      <c r="QA40" s="334"/>
      <c r="QB40" s="334"/>
      <c r="QC40" s="334"/>
      <c r="QD40" s="334"/>
      <c r="QE40" s="334"/>
      <c r="QF40" s="334"/>
      <c r="QG40" s="334"/>
      <c r="QH40" s="334"/>
      <c r="QI40" s="334"/>
      <c r="QJ40" s="334"/>
      <c r="QK40" s="334"/>
      <c r="QL40" s="334"/>
      <c r="QM40" s="334"/>
      <c r="QN40" s="334"/>
      <c r="QO40" s="334"/>
      <c r="QP40" s="334"/>
      <c r="QQ40" s="334"/>
      <c r="QR40" s="334"/>
      <c r="QS40" s="334"/>
      <c r="QT40" s="334"/>
      <c r="QU40" s="334"/>
      <c r="QV40" s="334"/>
      <c r="QW40" s="334"/>
      <c r="QX40" s="334"/>
      <c r="QY40" s="334"/>
      <c r="QZ40" s="334"/>
      <c r="RA40" s="334"/>
      <c r="RB40" s="334"/>
      <c r="RC40" s="334"/>
      <c r="RD40" s="334"/>
      <c r="RE40" s="334"/>
      <c r="RF40" s="334"/>
      <c r="RG40" s="334"/>
      <c r="RH40" s="334"/>
      <c r="RI40" s="334"/>
      <c r="RJ40" s="334"/>
      <c r="RK40" s="334"/>
      <c r="RL40" s="334"/>
      <c r="RM40" s="334"/>
      <c r="RN40" s="334"/>
      <c r="RO40" s="334"/>
      <c r="RP40" s="334"/>
      <c r="RQ40" s="334"/>
      <c r="RR40" s="334"/>
      <c r="RS40" s="334"/>
      <c r="RT40" s="334"/>
      <c r="RU40" s="334"/>
      <c r="RV40" s="334"/>
      <c r="RW40" s="334"/>
      <c r="RX40" s="334"/>
      <c r="RY40" s="334"/>
      <c r="RZ40" s="334"/>
      <c r="SA40" s="334"/>
      <c r="SB40" s="334"/>
      <c r="SC40" s="334"/>
      <c r="SD40" s="334"/>
      <c r="SE40" s="334"/>
      <c r="SF40" s="334"/>
      <c r="SG40" s="334"/>
      <c r="SH40" s="334"/>
      <c r="SI40" s="334"/>
      <c r="SJ40" s="334"/>
      <c r="SK40" s="334"/>
      <c r="SL40" s="334"/>
      <c r="SM40" s="334"/>
      <c r="SN40" s="334"/>
      <c r="SO40" s="334"/>
      <c r="SP40" s="334"/>
      <c r="SQ40" s="334"/>
      <c r="SR40" s="334"/>
      <c r="SS40" s="334"/>
      <c r="ST40" s="334"/>
      <c r="SU40" s="334"/>
      <c r="SV40" s="334"/>
      <c r="SW40" s="334"/>
      <c r="SX40" s="334"/>
      <c r="SY40" s="334"/>
      <c r="SZ40" s="334"/>
      <c r="TA40" s="334"/>
      <c r="TB40" s="334"/>
      <c r="TC40" s="334"/>
      <c r="TD40" s="334"/>
      <c r="TE40" s="334"/>
      <c r="TF40" s="334"/>
      <c r="TG40" s="334"/>
      <c r="TH40" s="334"/>
      <c r="TI40" s="334"/>
      <c r="TJ40" s="334"/>
      <c r="TK40" s="334"/>
      <c r="TL40" s="334"/>
      <c r="TM40" s="334"/>
      <c r="TN40" s="334"/>
      <c r="TO40" s="334"/>
      <c r="TP40" s="334"/>
      <c r="TQ40" s="334"/>
      <c r="TR40" s="334"/>
      <c r="TS40" s="334"/>
      <c r="TT40" s="334"/>
      <c r="TU40" s="334"/>
      <c r="TV40" s="334"/>
      <c r="TW40" s="334"/>
      <c r="TX40" s="334"/>
      <c r="TY40" s="334"/>
      <c r="TZ40" s="334"/>
      <c r="UA40" s="334"/>
      <c r="UB40" s="334"/>
      <c r="UC40" s="334"/>
      <c r="UD40" s="334"/>
      <c r="UE40" s="334"/>
      <c r="UF40" s="334"/>
      <c r="UG40" s="334"/>
      <c r="UH40" s="334"/>
      <c r="UI40" s="334"/>
      <c r="UJ40" s="334"/>
      <c r="UK40" s="334"/>
      <c r="UL40" s="334"/>
      <c r="UM40" s="334"/>
      <c r="UN40" s="334"/>
      <c r="UO40" s="334"/>
      <c r="UP40" s="334"/>
      <c r="UQ40" s="334"/>
      <c r="UR40" s="334"/>
      <c r="US40" s="334"/>
      <c r="UT40" s="334"/>
      <c r="UU40" s="334"/>
      <c r="UV40" s="334"/>
      <c r="UW40" s="334"/>
      <c r="UX40" s="334"/>
      <c r="UY40" s="334"/>
      <c r="UZ40" s="334"/>
      <c r="VA40" s="334"/>
      <c r="VB40" s="334"/>
      <c r="VC40" s="334"/>
      <c r="VD40" s="334"/>
      <c r="VE40" s="334"/>
      <c r="VF40" s="334"/>
      <c r="VG40" s="334"/>
      <c r="VH40" s="334"/>
      <c r="VI40" s="334"/>
      <c r="VJ40" s="334"/>
      <c r="VK40" s="334"/>
      <c r="VL40" s="334"/>
      <c r="VM40" s="334"/>
      <c r="VN40" s="334"/>
      <c r="VO40" s="334"/>
      <c r="VP40" s="334"/>
      <c r="VQ40" s="334"/>
      <c r="VR40" s="334"/>
      <c r="VS40" s="334"/>
      <c r="VT40" s="334"/>
      <c r="VU40" s="334"/>
      <c r="VV40" s="334"/>
      <c r="VW40" s="334"/>
      <c r="VX40" s="334"/>
      <c r="VY40" s="334"/>
      <c r="VZ40" s="334"/>
      <c r="WA40" s="334"/>
      <c r="WB40" s="334"/>
      <c r="WC40" s="334"/>
      <c r="WD40" s="334"/>
      <c r="WE40" s="334"/>
      <c r="WF40" s="334"/>
      <c r="WG40" s="334"/>
      <c r="WH40" s="334"/>
      <c r="WI40" s="334"/>
      <c r="WJ40" s="334"/>
      <c r="WK40" s="334"/>
      <c r="WL40" s="334"/>
      <c r="WM40" s="334"/>
      <c r="WN40" s="334"/>
      <c r="WO40" s="334"/>
      <c r="WP40" s="334"/>
      <c r="WQ40" s="334"/>
      <c r="WR40" s="334"/>
      <c r="WS40" s="334"/>
      <c r="WT40" s="334"/>
      <c r="WU40" s="334"/>
      <c r="WV40" s="334"/>
      <c r="WW40" s="334"/>
      <c r="WX40" s="334"/>
      <c r="WY40" s="334"/>
      <c r="WZ40" s="334"/>
      <c r="XA40" s="334"/>
      <c r="XB40" s="334"/>
      <c r="XC40" s="334"/>
      <c r="XD40" s="334"/>
      <c r="XE40" s="334"/>
      <c r="XF40" s="334"/>
      <c r="XG40" s="334"/>
      <c r="XH40" s="334"/>
      <c r="XI40" s="334"/>
      <c r="XJ40" s="334"/>
      <c r="XK40" s="334"/>
      <c r="XL40" s="334"/>
      <c r="XM40" s="334"/>
      <c r="XN40" s="334"/>
      <c r="XO40" s="334"/>
      <c r="XP40" s="334"/>
      <c r="XQ40" s="334"/>
      <c r="XR40" s="334"/>
      <c r="XS40" s="334"/>
      <c r="XT40" s="334"/>
      <c r="XU40" s="334"/>
      <c r="XV40" s="334"/>
      <c r="XW40" s="334"/>
      <c r="XX40" s="334"/>
      <c r="XY40" s="334"/>
      <c r="XZ40" s="334"/>
      <c r="YA40" s="334"/>
      <c r="YB40" s="334"/>
      <c r="YC40" s="334"/>
      <c r="YD40" s="334"/>
      <c r="YE40" s="334"/>
      <c r="YF40" s="334"/>
      <c r="YG40" s="334"/>
      <c r="YH40" s="334"/>
      <c r="YI40" s="334"/>
      <c r="YJ40" s="334"/>
      <c r="YK40" s="334"/>
      <c r="YL40" s="334"/>
      <c r="YM40" s="334"/>
      <c r="YN40" s="334"/>
      <c r="YO40" s="334"/>
      <c r="YP40" s="334"/>
      <c r="YQ40" s="334"/>
      <c r="YR40" s="334"/>
      <c r="YS40" s="334"/>
      <c r="YT40" s="334"/>
      <c r="YU40" s="334"/>
      <c r="YV40" s="334"/>
      <c r="YW40" s="334"/>
      <c r="YX40" s="334"/>
      <c r="YY40" s="334"/>
      <c r="YZ40" s="334"/>
      <c r="ZA40" s="334"/>
      <c r="ZB40" s="334"/>
      <c r="ZC40" s="334"/>
      <c r="ZD40" s="334"/>
      <c r="ZE40" s="334"/>
      <c r="ZF40" s="334"/>
      <c r="ZG40" s="334"/>
      <c r="ZH40" s="334"/>
      <c r="ZI40" s="334"/>
      <c r="ZJ40" s="334"/>
      <c r="ZK40" s="334"/>
      <c r="ZL40" s="334"/>
      <c r="ZM40" s="334"/>
      <c r="ZN40" s="334"/>
      <c r="ZO40" s="334"/>
      <c r="ZP40" s="334"/>
      <c r="ZQ40" s="334"/>
      <c r="ZR40" s="334"/>
      <c r="ZS40" s="334"/>
      <c r="ZT40" s="334"/>
      <c r="ZU40" s="334"/>
      <c r="ZV40" s="334"/>
      <c r="ZW40" s="334"/>
      <c r="ZX40" s="334"/>
      <c r="ZY40" s="334"/>
      <c r="ZZ40" s="334"/>
      <c r="AAA40" s="334"/>
      <c r="AAB40" s="334"/>
      <c r="AAC40" s="334"/>
      <c r="AAD40" s="334"/>
      <c r="AAE40" s="334"/>
      <c r="AAF40" s="334"/>
      <c r="AAG40" s="334"/>
      <c r="AAH40" s="334"/>
      <c r="AAI40" s="334"/>
      <c r="AAJ40" s="334"/>
      <c r="AAK40" s="334"/>
      <c r="AAL40" s="334"/>
      <c r="AAM40" s="334"/>
      <c r="AAN40" s="334"/>
      <c r="AAO40" s="334"/>
      <c r="AAP40" s="334"/>
      <c r="AAQ40" s="334"/>
      <c r="AAR40" s="334"/>
      <c r="AAS40" s="334"/>
      <c r="AAT40" s="334"/>
      <c r="AAU40" s="334"/>
      <c r="AAV40" s="334"/>
      <c r="AAW40" s="334"/>
      <c r="AAX40" s="334"/>
      <c r="AAY40" s="334"/>
      <c r="AAZ40" s="334"/>
      <c r="ABA40" s="334"/>
      <c r="ABB40" s="334"/>
      <c r="ABC40" s="334"/>
      <c r="ABD40" s="334"/>
      <c r="ABE40" s="334"/>
      <c r="ABF40" s="334"/>
      <c r="ABG40" s="334"/>
      <c r="ABH40" s="334"/>
      <c r="ABI40" s="334"/>
      <c r="ABJ40" s="334"/>
      <c r="ABK40" s="334"/>
      <c r="ABL40" s="334"/>
      <c r="ABM40" s="334"/>
      <c r="ABN40" s="334"/>
      <c r="ABO40" s="334"/>
      <c r="ABP40" s="334"/>
      <c r="ABQ40" s="334"/>
      <c r="ABR40" s="334"/>
      <c r="ABS40" s="334"/>
      <c r="ABT40" s="334"/>
      <c r="ABU40" s="334"/>
      <c r="ABV40" s="334"/>
      <c r="ABW40" s="334"/>
      <c r="ABX40" s="334"/>
      <c r="ABY40" s="334"/>
      <c r="ABZ40" s="334"/>
      <c r="ACA40" s="334"/>
      <c r="ACB40" s="334"/>
      <c r="ACC40" s="334"/>
      <c r="ACD40" s="334"/>
      <c r="ACE40" s="334"/>
      <c r="ACF40" s="334"/>
      <c r="ACG40" s="334"/>
      <c r="ACH40" s="334"/>
      <c r="ACI40" s="334"/>
      <c r="ACJ40" s="334"/>
      <c r="ACK40" s="334"/>
      <c r="ACL40" s="334"/>
      <c r="ACM40" s="334"/>
      <c r="ACN40" s="334"/>
      <c r="ACO40" s="334"/>
      <c r="ACP40" s="334"/>
      <c r="ACQ40" s="334"/>
      <c r="ACR40" s="334"/>
      <c r="ACS40" s="334"/>
      <c r="ACT40" s="334"/>
      <c r="ACU40" s="334"/>
      <c r="ACV40" s="334"/>
      <c r="ACW40" s="334"/>
      <c r="ACX40" s="334"/>
      <c r="ACY40" s="334"/>
      <c r="ACZ40" s="334"/>
      <c r="ADA40" s="334"/>
      <c r="ADB40" s="334"/>
      <c r="ADC40" s="334"/>
      <c r="ADD40" s="334"/>
      <c r="ADE40" s="334"/>
      <c r="ADF40" s="334"/>
      <c r="ADG40" s="334"/>
      <c r="ADH40" s="334"/>
      <c r="ADI40" s="334"/>
      <c r="ADJ40" s="334"/>
      <c r="ADK40" s="334"/>
      <c r="ADL40" s="334"/>
      <c r="ADM40" s="334"/>
      <c r="ADN40" s="334"/>
      <c r="ADO40" s="334"/>
      <c r="ADP40" s="334"/>
      <c r="ADQ40" s="334"/>
      <c r="ADR40" s="334"/>
      <c r="ADS40" s="334"/>
      <c r="ADT40" s="334"/>
      <c r="ADU40" s="334"/>
      <c r="ADV40" s="334"/>
      <c r="ADW40" s="334"/>
      <c r="ADX40" s="334"/>
      <c r="ADY40" s="334"/>
      <c r="ADZ40" s="334"/>
      <c r="AEA40" s="334"/>
      <c r="AEB40" s="334"/>
      <c r="AEC40" s="334"/>
      <c r="AED40" s="334"/>
      <c r="AEE40" s="334"/>
      <c r="AEF40" s="334"/>
      <c r="AEG40" s="334"/>
      <c r="AEH40" s="334"/>
      <c r="AEI40" s="334"/>
      <c r="AEJ40" s="334"/>
      <c r="AEK40" s="334"/>
      <c r="AEL40" s="334"/>
      <c r="AEM40" s="334"/>
      <c r="AEN40" s="334"/>
      <c r="AEO40" s="334"/>
      <c r="AEP40" s="334"/>
      <c r="AEQ40" s="334"/>
      <c r="AER40" s="334"/>
      <c r="AES40" s="334"/>
      <c r="AET40" s="334"/>
      <c r="AEU40" s="334"/>
      <c r="AEV40" s="334"/>
      <c r="AEW40" s="334"/>
      <c r="AEX40" s="334"/>
      <c r="AEY40" s="334"/>
      <c r="AEZ40" s="334"/>
      <c r="AFA40" s="334"/>
      <c r="AFB40" s="334"/>
      <c r="AFC40" s="334"/>
      <c r="AFD40" s="334"/>
      <c r="AFE40" s="334"/>
      <c r="AFF40" s="334"/>
      <c r="AFG40" s="334"/>
      <c r="AFH40" s="334"/>
      <c r="AFI40" s="334"/>
      <c r="AFJ40" s="334"/>
      <c r="AFK40" s="334"/>
      <c r="AFL40" s="334"/>
      <c r="AFM40" s="334"/>
      <c r="AFN40" s="334"/>
      <c r="AFO40" s="334"/>
      <c r="AFP40" s="334"/>
      <c r="AFQ40" s="334"/>
      <c r="AFR40" s="334"/>
      <c r="AFS40" s="334"/>
      <c r="AFT40" s="334"/>
      <c r="AFU40" s="334"/>
      <c r="AFV40" s="334"/>
      <c r="AFW40" s="334"/>
      <c r="AFX40" s="334"/>
      <c r="AFY40" s="334"/>
      <c r="AFZ40" s="334"/>
      <c r="AGA40" s="334"/>
      <c r="AGB40" s="334"/>
      <c r="AGC40" s="334"/>
      <c r="AGD40" s="334"/>
      <c r="AGE40" s="334"/>
      <c r="AGF40" s="334"/>
      <c r="AGG40" s="334"/>
      <c r="AGH40" s="334"/>
      <c r="AGI40" s="334"/>
      <c r="AGJ40" s="334"/>
      <c r="AGK40" s="334"/>
      <c r="AGL40" s="334"/>
      <c r="AGM40" s="334"/>
      <c r="AGN40" s="334"/>
      <c r="AGO40" s="334"/>
      <c r="AGP40" s="334"/>
      <c r="AGQ40" s="334"/>
      <c r="AGR40" s="334"/>
      <c r="AGS40" s="334"/>
      <c r="AGT40" s="334"/>
      <c r="AGU40" s="334"/>
      <c r="AGV40" s="334"/>
      <c r="AGW40" s="334"/>
      <c r="AGX40" s="334"/>
      <c r="AGY40" s="334"/>
      <c r="AGZ40" s="334"/>
      <c r="AHA40" s="334"/>
      <c r="AHB40" s="334"/>
      <c r="AHC40" s="334"/>
      <c r="AHD40" s="334"/>
      <c r="AHE40" s="334"/>
      <c r="AHF40" s="334"/>
      <c r="AHG40" s="334"/>
      <c r="AHH40" s="334"/>
      <c r="AHI40" s="334"/>
      <c r="AHJ40" s="334"/>
      <c r="AHK40" s="334"/>
      <c r="AHL40" s="334"/>
      <c r="AHM40" s="334"/>
      <c r="AHN40" s="334"/>
      <c r="AHO40" s="334"/>
      <c r="AHP40" s="334"/>
      <c r="AHQ40" s="334"/>
      <c r="AHR40" s="334"/>
      <c r="AHS40" s="334"/>
      <c r="AHT40" s="334"/>
      <c r="AHU40" s="334"/>
      <c r="AHV40" s="334"/>
      <c r="AHW40" s="334"/>
      <c r="AHX40" s="334"/>
      <c r="AHY40" s="334"/>
      <c r="AHZ40" s="334"/>
      <c r="AIA40" s="334"/>
      <c r="AIB40" s="334"/>
      <c r="AIC40" s="334"/>
      <c r="AID40" s="334"/>
      <c r="AIE40" s="334"/>
      <c r="AIF40" s="334"/>
      <c r="AIG40" s="334"/>
      <c r="AIH40" s="334"/>
      <c r="AII40" s="334"/>
      <c r="AIJ40" s="334"/>
      <c r="AIK40" s="334"/>
      <c r="AIL40" s="334"/>
      <c r="AIM40" s="334"/>
      <c r="AIN40" s="334"/>
      <c r="AIO40" s="334"/>
      <c r="AIP40" s="334"/>
      <c r="AIQ40" s="334"/>
      <c r="AIR40" s="334"/>
      <c r="AIS40" s="334"/>
      <c r="AIT40" s="334"/>
      <c r="AIU40" s="334"/>
      <c r="AIV40" s="334"/>
      <c r="AIW40" s="334"/>
      <c r="AIX40" s="334"/>
      <c r="AIY40" s="334"/>
      <c r="AIZ40" s="334"/>
      <c r="AJA40" s="334"/>
      <c r="AJB40" s="334"/>
      <c r="AJC40" s="334"/>
      <c r="AJD40" s="334"/>
      <c r="AJE40" s="334"/>
      <c r="AJF40" s="334"/>
      <c r="AJG40" s="334"/>
      <c r="AJH40" s="334"/>
      <c r="AJI40" s="334"/>
      <c r="AJJ40" s="334"/>
      <c r="AJK40" s="334"/>
      <c r="AJL40" s="334"/>
      <c r="AJM40" s="334"/>
      <c r="AJN40" s="334"/>
      <c r="AJO40" s="334"/>
      <c r="AJP40" s="334"/>
      <c r="AJQ40" s="334"/>
      <c r="AJR40" s="334"/>
      <c r="AJS40" s="334"/>
      <c r="AJT40" s="334"/>
      <c r="AJU40" s="334"/>
      <c r="AJV40" s="334"/>
      <c r="AJW40" s="334"/>
      <c r="AJX40" s="334"/>
      <c r="AJY40" s="334"/>
      <c r="AJZ40" s="334"/>
      <c r="AKA40" s="334"/>
      <c r="AKB40" s="334"/>
      <c r="AKC40" s="334"/>
      <c r="AKD40" s="334"/>
      <c r="AKE40" s="334"/>
      <c r="AKF40" s="334"/>
      <c r="AKG40" s="334"/>
      <c r="AKH40" s="334"/>
      <c r="AKI40" s="334"/>
      <c r="AKJ40" s="334"/>
      <c r="AKK40" s="334"/>
      <c r="AKL40" s="334"/>
      <c r="AKM40" s="334"/>
      <c r="AKN40" s="334"/>
      <c r="AKO40" s="334"/>
      <c r="AKP40" s="334"/>
      <c r="AKQ40" s="334"/>
      <c r="AKR40" s="334"/>
      <c r="AKS40" s="334"/>
      <c r="AKT40" s="334"/>
      <c r="AKU40" s="334"/>
      <c r="AKV40" s="334"/>
      <c r="AKW40" s="334"/>
      <c r="AKX40" s="334"/>
      <c r="AKY40" s="334"/>
      <c r="AKZ40" s="334"/>
      <c r="ALA40" s="334"/>
      <c r="ALB40" s="334"/>
      <c r="ALC40" s="334"/>
      <c r="ALD40" s="334"/>
      <c r="ALE40" s="334"/>
      <c r="ALF40" s="334"/>
      <c r="ALG40" s="334"/>
      <c r="ALH40" s="334"/>
      <c r="ALI40" s="334"/>
      <c r="ALJ40" s="334"/>
      <c r="ALK40" s="334"/>
      <c r="ALL40" s="334"/>
      <c r="ALM40" s="334"/>
      <c r="ALN40" s="334"/>
      <c r="ALO40" s="334"/>
      <c r="ALP40" s="334"/>
      <c r="ALQ40" s="334"/>
      <c r="ALR40" s="334"/>
      <c r="ALS40" s="334"/>
      <c r="ALT40" s="334"/>
      <c r="ALU40" s="334"/>
      <c r="ALV40" s="334"/>
      <c r="ALW40" s="334"/>
      <c r="ALX40" s="334"/>
      <c r="ALY40" s="334"/>
      <c r="ALZ40" s="334"/>
      <c r="AMA40" s="334"/>
      <c r="AMB40" s="334"/>
      <c r="AMC40" s="334"/>
      <c r="AMD40" s="334"/>
      <c r="AME40" s="334"/>
      <c r="AMF40" s="334"/>
      <c r="AMG40" s="334"/>
      <c r="AMH40" s="334"/>
      <c r="AMI40" s="334"/>
      <c r="AMJ40" s="334"/>
      <c r="AMK40" s="334"/>
      <c r="AML40" s="334"/>
      <c r="AMM40" s="334"/>
      <c r="AMN40" s="334"/>
      <c r="AMO40" s="334"/>
      <c r="AMP40" s="334"/>
      <c r="AMQ40" s="334"/>
      <c r="AMR40" s="334"/>
      <c r="AMS40" s="334"/>
      <c r="AMT40" s="334"/>
      <c r="AMU40" s="334"/>
      <c r="AMV40" s="334"/>
      <c r="AMW40" s="334"/>
      <c r="AMX40" s="334"/>
      <c r="AMY40" s="334"/>
      <c r="AMZ40" s="334"/>
    </row>
    <row r="41" spans="1:1040" s="333" customFormat="1" ht="13.2" x14ac:dyDescent="0.25">
      <c r="A41" s="334"/>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5"/>
      <c r="AA41" s="335"/>
      <c r="AB41" s="335"/>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c r="EP41" s="334"/>
      <c r="EQ41" s="334"/>
      <c r="ER41" s="334"/>
      <c r="ES41" s="334"/>
      <c r="ET41" s="334"/>
      <c r="EU41" s="334"/>
      <c r="EV41" s="334"/>
      <c r="EW41" s="334"/>
      <c r="EX41" s="334"/>
      <c r="EY41" s="334"/>
      <c r="EZ41" s="334"/>
      <c r="FA41" s="334"/>
      <c r="FB41" s="334"/>
      <c r="FC41" s="334"/>
      <c r="FD41" s="334"/>
      <c r="FE41" s="334"/>
      <c r="FF41" s="334"/>
      <c r="FG41" s="334"/>
      <c r="FH41" s="334"/>
      <c r="FI41" s="334"/>
      <c r="FJ41" s="334"/>
      <c r="FK41" s="334"/>
      <c r="FL41" s="334"/>
      <c r="FM41" s="334"/>
      <c r="FN41" s="334"/>
      <c r="FO41" s="334"/>
      <c r="FP41" s="334"/>
      <c r="FQ41" s="334"/>
      <c r="FR41" s="334"/>
      <c r="FS41" s="334"/>
      <c r="FT41" s="334"/>
      <c r="FU41" s="334"/>
      <c r="FV41" s="334"/>
      <c r="FW41" s="334"/>
      <c r="FX41" s="334"/>
      <c r="FY41" s="334"/>
      <c r="FZ41" s="334"/>
      <c r="GA41" s="334"/>
      <c r="GB41" s="334"/>
      <c r="GC41" s="334"/>
      <c r="GD41" s="334"/>
      <c r="GE41" s="334"/>
      <c r="GF41" s="334"/>
      <c r="GG41" s="334"/>
      <c r="GH41" s="334"/>
      <c r="GI41" s="334"/>
      <c r="GJ41" s="334"/>
      <c r="GK41" s="334"/>
      <c r="GL41" s="334"/>
      <c r="GM41" s="334"/>
      <c r="GN41" s="334"/>
      <c r="GO41" s="334"/>
      <c r="GP41" s="334"/>
      <c r="GQ41" s="334"/>
      <c r="GR41" s="334"/>
      <c r="GS41" s="334"/>
      <c r="GT41" s="334"/>
      <c r="GU41" s="334"/>
      <c r="GV41" s="334"/>
      <c r="GW41" s="334"/>
      <c r="GX41" s="334"/>
      <c r="GY41" s="334"/>
      <c r="GZ41" s="334"/>
      <c r="HA41" s="334"/>
      <c r="HB41" s="334"/>
      <c r="HC41" s="334"/>
      <c r="HD41" s="334"/>
      <c r="HE41" s="334"/>
      <c r="HF41" s="334"/>
      <c r="HG41" s="334"/>
      <c r="HH41" s="334"/>
      <c r="HI41" s="334"/>
      <c r="HJ41" s="334"/>
      <c r="HK41" s="334"/>
      <c r="HL41" s="334"/>
      <c r="HM41" s="334"/>
      <c r="HN41" s="334"/>
      <c r="HO41" s="334"/>
      <c r="HP41" s="334"/>
      <c r="HQ41" s="334"/>
      <c r="HR41" s="334"/>
      <c r="HS41" s="334"/>
      <c r="HT41" s="334"/>
      <c r="HU41" s="334"/>
      <c r="HV41" s="334"/>
      <c r="HW41" s="334"/>
      <c r="HX41" s="334"/>
      <c r="HY41" s="334"/>
      <c r="HZ41" s="334"/>
      <c r="IA41" s="334"/>
      <c r="IB41" s="334"/>
      <c r="IC41" s="334"/>
      <c r="ID41" s="334"/>
      <c r="IE41" s="334"/>
      <c r="IF41" s="334"/>
      <c r="IG41" s="334"/>
      <c r="IH41" s="334"/>
      <c r="II41" s="334"/>
      <c r="IJ41" s="334"/>
      <c r="IK41" s="334"/>
      <c r="IL41" s="334"/>
      <c r="IM41" s="334"/>
      <c r="IN41" s="334"/>
      <c r="IO41" s="334"/>
      <c r="IP41" s="334"/>
      <c r="IQ41" s="334"/>
      <c r="IR41" s="334"/>
      <c r="IS41" s="334"/>
      <c r="IT41" s="334"/>
      <c r="IU41" s="334"/>
      <c r="IV41" s="334"/>
      <c r="IW41" s="334"/>
      <c r="IX41" s="334"/>
      <c r="IY41" s="334"/>
      <c r="IZ41" s="334"/>
      <c r="JA41" s="334"/>
      <c r="JB41" s="334"/>
      <c r="JC41" s="334"/>
      <c r="JD41" s="334"/>
      <c r="JE41" s="334"/>
      <c r="JF41" s="334"/>
      <c r="JG41" s="334"/>
      <c r="JH41" s="334"/>
      <c r="JI41" s="334"/>
      <c r="JJ41" s="334"/>
      <c r="JK41" s="334"/>
      <c r="JL41" s="334"/>
      <c r="JM41" s="334"/>
      <c r="JN41" s="334"/>
      <c r="JO41" s="334"/>
      <c r="JP41" s="334"/>
      <c r="JQ41" s="334"/>
      <c r="JR41" s="334"/>
      <c r="JS41" s="334"/>
      <c r="JT41" s="334"/>
      <c r="JU41" s="334"/>
      <c r="JV41" s="334"/>
      <c r="JW41" s="334"/>
      <c r="JX41" s="334"/>
      <c r="JY41" s="334"/>
      <c r="JZ41" s="334"/>
      <c r="KA41" s="334"/>
      <c r="KB41" s="334"/>
      <c r="KC41" s="334"/>
      <c r="KD41" s="334"/>
      <c r="KE41" s="334"/>
      <c r="KF41" s="334"/>
      <c r="KG41" s="334"/>
      <c r="KH41" s="334"/>
      <c r="KI41" s="334"/>
      <c r="KJ41" s="334"/>
      <c r="KK41" s="334"/>
      <c r="KL41" s="334"/>
      <c r="KM41" s="334"/>
      <c r="KN41" s="334"/>
      <c r="KO41" s="334"/>
      <c r="KP41" s="334"/>
      <c r="KQ41" s="334"/>
      <c r="KR41" s="334"/>
      <c r="KS41" s="334"/>
      <c r="KT41" s="334"/>
      <c r="KU41" s="334"/>
      <c r="KV41" s="334"/>
      <c r="KW41" s="334"/>
      <c r="KX41" s="334"/>
      <c r="KY41" s="334"/>
      <c r="KZ41" s="334"/>
      <c r="LA41" s="334"/>
      <c r="LB41" s="334"/>
      <c r="LC41" s="334"/>
      <c r="LD41" s="334"/>
      <c r="LE41" s="334"/>
      <c r="LF41" s="334"/>
      <c r="LG41" s="334"/>
      <c r="LH41" s="334"/>
      <c r="LI41" s="334"/>
      <c r="LJ41" s="334"/>
      <c r="LK41" s="334"/>
      <c r="LL41" s="334"/>
      <c r="LM41" s="334"/>
      <c r="LN41" s="334"/>
      <c r="LO41" s="334"/>
      <c r="LP41" s="334"/>
      <c r="LQ41" s="334"/>
      <c r="LR41" s="334"/>
      <c r="LS41" s="334"/>
      <c r="LT41" s="334"/>
      <c r="LU41" s="334"/>
      <c r="LV41" s="334"/>
      <c r="LW41" s="334"/>
      <c r="LX41" s="334"/>
      <c r="LY41" s="334"/>
      <c r="LZ41" s="334"/>
      <c r="MA41" s="334"/>
      <c r="MB41" s="334"/>
      <c r="MC41" s="334"/>
      <c r="MD41" s="334"/>
      <c r="ME41" s="334"/>
      <c r="MF41" s="334"/>
      <c r="MG41" s="334"/>
      <c r="MH41" s="334"/>
      <c r="MI41" s="334"/>
      <c r="MJ41" s="334"/>
      <c r="MK41" s="334"/>
      <c r="ML41" s="334"/>
      <c r="MM41" s="334"/>
      <c r="MN41" s="334"/>
      <c r="MO41" s="334"/>
      <c r="MP41" s="334"/>
      <c r="MQ41" s="334"/>
      <c r="MR41" s="334"/>
      <c r="MS41" s="334"/>
      <c r="MT41" s="334"/>
      <c r="MU41" s="334"/>
      <c r="MV41" s="334"/>
      <c r="MW41" s="334"/>
      <c r="MX41" s="334"/>
      <c r="MY41" s="334"/>
      <c r="MZ41" s="334"/>
      <c r="NA41" s="334"/>
      <c r="NB41" s="334"/>
      <c r="NC41" s="334"/>
      <c r="ND41" s="334"/>
      <c r="NE41" s="334"/>
      <c r="NF41" s="334"/>
      <c r="NG41" s="334"/>
      <c r="NH41" s="334"/>
      <c r="NI41" s="334"/>
      <c r="NJ41" s="334"/>
      <c r="NK41" s="334"/>
      <c r="NL41" s="334"/>
      <c r="NM41" s="334"/>
      <c r="NN41" s="334"/>
      <c r="NO41" s="334"/>
      <c r="NP41" s="334"/>
      <c r="NQ41" s="334"/>
      <c r="NR41" s="334"/>
      <c r="NS41" s="334"/>
      <c r="NT41" s="334"/>
      <c r="NU41" s="334"/>
      <c r="NV41" s="334"/>
      <c r="NW41" s="334"/>
      <c r="NX41" s="334"/>
      <c r="NY41" s="334"/>
      <c r="NZ41" s="334"/>
      <c r="OA41" s="334"/>
      <c r="OB41" s="334"/>
      <c r="OC41" s="334"/>
      <c r="OD41" s="334"/>
      <c r="OE41" s="334"/>
      <c r="OF41" s="334"/>
      <c r="OG41" s="334"/>
      <c r="OH41" s="334"/>
      <c r="OI41" s="334"/>
      <c r="OJ41" s="334"/>
      <c r="OK41" s="334"/>
      <c r="OL41" s="334"/>
      <c r="OM41" s="334"/>
      <c r="ON41" s="334"/>
      <c r="OO41" s="334"/>
      <c r="OP41" s="334"/>
      <c r="OQ41" s="334"/>
      <c r="OR41" s="334"/>
      <c r="OS41" s="334"/>
      <c r="OT41" s="334"/>
      <c r="OU41" s="334"/>
      <c r="OV41" s="334"/>
      <c r="OW41" s="334"/>
      <c r="OX41" s="334"/>
      <c r="OY41" s="334"/>
      <c r="OZ41" s="334"/>
      <c r="PA41" s="334"/>
      <c r="PB41" s="334"/>
      <c r="PC41" s="334"/>
      <c r="PD41" s="334"/>
      <c r="PE41" s="334"/>
      <c r="PF41" s="334"/>
      <c r="PG41" s="334"/>
      <c r="PH41" s="334"/>
      <c r="PI41" s="334"/>
      <c r="PJ41" s="334"/>
      <c r="PK41" s="334"/>
      <c r="PL41" s="334"/>
      <c r="PM41" s="334"/>
      <c r="PN41" s="334"/>
      <c r="PO41" s="334"/>
      <c r="PP41" s="334"/>
      <c r="PQ41" s="334"/>
      <c r="PR41" s="334"/>
      <c r="PS41" s="334"/>
      <c r="PT41" s="334"/>
      <c r="PU41" s="334"/>
      <c r="PV41" s="334"/>
      <c r="PW41" s="334"/>
      <c r="PX41" s="334"/>
      <c r="PY41" s="334"/>
      <c r="PZ41" s="334"/>
      <c r="QA41" s="334"/>
      <c r="QB41" s="334"/>
      <c r="QC41" s="334"/>
      <c r="QD41" s="334"/>
      <c r="QE41" s="334"/>
      <c r="QF41" s="334"/>
      <c r="QG41" s="334"/>
      <c r="QH41" s="334"/>
      <c r="QI41" s="334"/>
      <c r="QJ41" s="334"/>
      <c r="QK41" s="334"/>
      <c r="QL41" s="334"/>
      <c r="QM41" s="334"/>
      <c r="QN41" s="334"/>
      <c r="QO41" s="334"/>
      <c r="QP41" s="334"/>
      <c r="QQ41" s="334"/>
      <c r="QR41" s="334"/>
      <c r="QS41" s="334"/>
      <c r="QT41" s="334"/>
      <c r="QU41" s="334"/>
      <c r="QV41" s="334"/>
      <c r="QW41" s="334"/>
      <c r="QX41" s="334"/>
      <c r="QY41" s="334"/>
      <c r="QZ41" s="334"/>
      <c r="RA41" s="334"/>
      <c r="RB41" s="334"/>
      <c r="RC41" s="334"/>
      <c r="RD41" s="334"/>
      <c r="RE41" s="334"/>
      <c r="RF41" s="334"/>
      <c r="RG41" s="334"/>
      <c r="RH41" s="334"/>
      <c r="RI41" s="334"/>
      <c r="RJ41" s="334"/>
      <c r="RK41" s="334"/>
      <c r="RL41" s="334"/>
      <c r="RM41" s="334"/>
      <c r="RN41" s="334"/>
      <c r="RO41" s="334"/>
      <c r="RP41" s="334"/>
      <c r="RQ41" s="334"/>
      <c r="RR41" s="334"/>
      <c r="RS41" s="334"/>
      <c r="RT41" s="334"/>
      <c r="RU41" s="334"/>
      <c r="RV41" s="334"/>
      <c r="RW41" s="334"/>
      <c r="RX41" s="334"/>
      <c r="RY41" s="334"/>
      <c r="RZ41" s="334"/>
      <c r="SA41" s="334"/>
      <c r="SB41" s="334"/>
      <c r="SC41" s="334"/>
      <c r="SD41" s="334"/>
      <c r="SE41" s="334"/>
      <c r="SF41" s="334"/>
      <c r="SG41" s="334"/>
      <c r="SH41" s="334"/>
      <c r="SI41" s="334"/>
      <c r="SJ41" s="334"/>
      <c r="SK41" s="334"/>
      <c r="SL41" s="334"/>
      <c r="SM41" s="334"/>
      <c r="SN41" s="334"/>
      <c r="SO41" s="334"/>
      <c r="SP41" s="334"/>
      <c r="SQ41" s="334"/>
      <c r="SR41" s="334"/>
      <c r="SS41" s="334"/>
      <c r="ST41" s="334"/>
      <c r="SU41" s="334"/>
      <c r="SV41" s="334"/>
      <c r="SW41" s="334"/>
      <c r="SX41" s="334"/>
      <c r="SY41" s="334"/>
      <c r="SZ41" s="334"/>
      <c r="TA41" s="334"/>
      <c r="TB41" s="334"/>
      <c r="TC41" s="334"/>
      <c r="TD41" s="334"/>
      <c r="TE41" s="334"/>
      <c r="TF41" s="334"/>
      <c r="TG41" s="334"/>
      <c r="TH41" s="334"/>
      <c r="TI41" s="334"/>
      <c r="TJ41" s="334"/>
      <c r="TK41" s="334"/>
      <c r="TL41" s="334"/>
      <c r="TM41" s="334"/>
      <c r="TN41" s="334"/>
      <c r="TO41" s="334"/>
      <c r="TP41" s="334"/>
      <c r="TQ41" s="334"/>
      <c r="TR41" s="334"/>
      <c r="TS41" s="334"/>
      <c r="TT41" s="334"/>
      <c r="TU41" s="334"/>
      <c r="TV41" s="334"/>
      <c r="TW41" s="334"/>
      <c r="TX41" s="334"/>
      <c r="TY41" s="334"/>
      <c r="TZ41" s="334"/>
      <c r="UA41" s="334"/>
      <c r="UB41" s="334"/>
      <c r="UC41" s="334"/>
      <c r="UD41" s="334"/>
      <c r="UE41" s="334"/>
      <c r="UF41" s="334"/>
      <c r="UG41" s="334"/>
      <c r="UH41" s="334"/>
      <c r="UI41" s="334"/>
      <c r="UJ41" s="334"/>
      <c r="UK41" s="334"/>
      <c r="UL41" s="334"/>
      <c r="UM41" s="334"/>
      <c r="UN41" s="334"/>
      <c r="UO41" s="334"/>
      <c r="UP41" s="334"/>
      <c r="UQ41" s="334"/>
      <c r="UR41" s="334"/>
      <c r="US41" s="334"/>
      <c r="UT41" s="334"/>
      <c r="UU41" s="334"/>
      <c r="UV41" s="334"/>
      <c r="UW41" s="334"/>
      <c r="UX41" s="334"/>
      <c r="UY41" s="334"/>
      <c r="UZ41" s="334"/>
      <c r="VA41" s="334"/>
      <c r="VB41" s="334"/>
      <c r="VC41" s="334"/>
      <c r="VD41" s="334"/>
      <c r="VE41" s="334"/>
      <c r="VF41" s="334"/>
      <c r="VG41" s="334"/>
      <c r="VH41" s="334"/>
      <c r="VI41" s="334"/>
      <c r="VJ41" s="334"/>
      <c r="VK41" s="334"/>
      <c r="VL41" s="334"/>
      <c r="VM41" s="334"/>
      <c r="VN41" s="334"/>
      <c r="VO41" s="334"/>
      <c r="VP41" s="334"/>
      <c r="VQ41" s="334"/>
      <c r="VR41" s="334"/>
      <c r="VS41" s="334"/>
      <c r="VT41" s="334"/>
      <c r="VU41" s="334"/>
      <c r="VV41" s="334"/>
      <c r="VW41" s="334"/>
      <c r="VX41" s="334"/>
      <c r="VY41" s="334"/>
      <c r="VZ41" s="334"/>
      <c r="WA41" s="334"/>
      <c r="WB41" s="334"/>
      <c r="WC41" s="334"/>
      <c r="WD41" s="334"/>
      <c r="WE41" s="334"/>
      <c r="WF41" s="334"/>
      <c r="WG41" s="334"/>
      <c r="WH41" s="334"/>
      <c r="WI41" s="334"/>
      <c r="WJ41" s="334"/>
      <c r="WK41" s="334"/>
      <c r="WL41" s="334"/>
      <c r="WM41" s="334"/>
      <c r="WN41" s="334"/>
      <c r="WO41" s="334"/>
      <c r="WP41" s="334"/>
      <c r="WQ41" s="334"/>
      <c r="WR41" s="334"/>
      <c r="WS41" s="334"/>
      <c r="WT41" s="334"/>
      <c r="WU41" s="334"/>
      <c r="WV41" s="334"/>
      <c r="WW41" s="334"/>
      <c r="WX41" s="334"/>
      <c r="WY41" s="334"/>
      <c r="WZ41" s="334"/>
      <c r="XA41" s="334"/>
      <c r="XB41" s="334"/>
      <c r="XC41" s="334"/>
      <c r="XD41" s="334"/>
      <c r="XE41" s="334"/>
      <c r="XF41" s="334"/>
      <c r="XG41" s="334"/>
      <c r="XH41" s="334"/>
      <c r="XI41" s="334"/>
      <c r="XJ41" s="334"/>
      <c r="XK41" s="334"/>
      <c r="XL41" s="334"/>
      <c r="XM41" s="334"/>
      <c r="XN41" s="334"/>
      <c r="XO41" s="334"/>
      <c r="XP41" s="334"/>
      <c r="XQ41" s="334"/>
      <c r="XR41" s="334"/>
      <c r="XS41" s="334"/>
      <c r="XT41" s="334"/>
      <c r="XU41" s="334"/>
      <c r="XV41" s="334"/>
      <c r="XW41" s="334"/>
      <c r="XX41" s="334"/>
      <c r="XY41" s="334"/>
      <c r="XZ41" s="334"/>
      <c r="YA41" s="334"/>
      <c r="YB41" s="334"/>
      <c r="YC41" s="334"/>
      <c r="YD41" s="334"/>
      <c r="YE41" s="334"/>
      <c r="YF41" s="334"/>
      <c r="YG41" s="334"/>
      <c r="YH41" s="334"/>
      <c r="YI41" s="334"/>
      <c r="YJ41" s="334"/>
      <c r="YK41" s="334"/>
      <c r="YL41" s="334"/>
      <c r="YM41" s="334"/>
      <c r="YN41" s="334"/>
      <c r="YO41" s="334"/>
      <c r="YP41" s="334"/>
      <c r="YQ41" s="334"/>
      <c r="YR41" s="334"/>
      <c r="YS41" s="334"/>
      <c r="YT41" s="334"/>
      <c r="YU41" s="334"/>
      <c r="YV41" s="334"/>
      <c r="YW41" s="334"/>
      <c r="YX41" s="334"/>
      <c r="YY41" s="334"/>
      <c r="YZ41" s="334"/>
      <c r="ZA41" s="334"/>
      <c r="ZB41" s="334"/>
      <c r="ZC41" s="334"/>
      <c r="ZD41" s="334"/>
      <c r="ZE41" s="334"/>
      <c r="ZF41" s="334"/>
      <c r="ZG41" s="334"/>
      <c r="ZH41" s="334"/>
      <c r="ZI41" s="334"/>
      <c r="ZJ41" s="334"/>
      <c r="ZK41" s="334"/>
      <c r="ZL41" s="334"/>
      <c r="ZM41" s="334"/>
      <c r="ZN41" s="334"/>
      <c r="ZO41" s="334"/>
      <c r="ZP41" s="334"/>
      <c r="ZQ41" s="334"/>
      <c r="ZR41" s="334"/>
      <c r="ZS41" s="334"/>
      <c r="ZT41" s="334"/>
      <c r="ZU41" s="334"/>
      <c r="ZV41" s="334"/>
      <c r="ZW41" s="334"/>
      <c r="ZX41" s="334"/>
      <c r="ZY41" s="334"/>
      <c r="ZZ41" s="334"/>
      <c r="AAA41" s="334"/>
      <c r="AAB41" s="334"/>
      <c r="AAC41" s="334"/>
      <c r="AAD41" s="334"/>
      <c r="AAE41" s="334"/>
      <c r="AAF41" s="334"/>
      <c r="AAG41" s="334"/>
      <c r="AAH41" s="334"/>
      <c r="AAI41" s="334"/>
      <c r="AAJ41" s="334"/>
      <c r="AAK41" s="334"/>
      <c r="AAL41" s="334"/>
      <c r="AAM41" s="334"/>
      <c r="AAN41" s="334"/>
      <c r="AAO41" s="334"/>
      <c r="AAP41" s="334"/>
      <c r="AAQ41" s="334"/>
      <c r="AAR41" s="334"/>
      <c r="AAS41" s="334"/>
      <c r="AAT41" s="334"/>
      <c r="AAU41" s="334"/>
      <c r="AAV41" s="334"/>
      <c r="AAW41" s="334"/>
      <c r="AAX41" s="334"/>
      <c r="AAY41" s="334"/>
      <c r="AAZ41" s="334"/>
      <c r="ABA41" s="334"/>
      <c r="ABB41" s="334"/>
      <c r="ABC41" s="334"/>
      <c r="ABD41" s="334"/>
      <c r="ABE41" s="334"/>
      <c r="ABF41" s="334"/>
      <c r="ABG41" s="334"/>
      <c r="ABH41" s="334"/>
      <c r="ABI41" s="334"/>
      <c r="ABJ41" s="334"/>
      <c r="ABK41" s="334"/>
      <c r="ABL41" s="334"/>
      <c r="ABM41" s="334"/>
      <c r="ABN41" s="334"/>
      <c r="ABO41" s="334"/>
      <c r="ABP41" s="334"/>
      <c r="ABQ41" s="334"/>
      <c r="ABR41" s="334"/>
      <c r="ABS41" s="334"/>
      <c r="ABT41" s="334"/>
      <c r="ABU41" s="334"/>
      <c r="ABV41" s="334"/>
      <c r="ABW41" s="334"/>
      <c r="ABX41" s="334"/>
      <c r="ABY41" s="334"/>
      <c r="ABZ41" s="334"/>
      <c r="ACA41" s="334"/>
      <c r="ACB41" s="334"/>
      <c r="ACC41" s="334"/>
      <c r="ACD41" s="334"/>
      <c r="ACE41" s="334"/>
      <c r="ACF41" s="334"/>
      <c r="ACG41" s="334"/>
      <c r="ACH41" s="334"/>
      <c r="ACI41" s="334"/>
      <c r="ACJ41" s="334"/>
      <c r="ACK41" s="334"/>
      <c r="ACL41" s="334"/>
      <c r="ACM41" s="334"/>
      <c r="ACN41" s="334"/>
      <c r="ACO41" s="334"/>
      <c r="ACP41" s="334"/>
      <c r="ACQ41" s="334"/>
      <c r="ACR41" s="334"/>
      <c r="ACS41" s="334"/>
      <c r="ACT41" s="334"/>
      <c r="ACU41" s="334"/>
      <c r="ACV41" s="334"/>
      <c r="ACW41" s="334"/>
      <c r="ACX41" s="334"/>
      <c r="ACY41" s="334"/>
      <c r="ACZ41" s="334"/>
      <c r="ADA41" s="334"/>
      <c r="ADB41" s="334"/>
      <c r="ADC41" s="334"/>
      <c r="ADD41" s="334"/>
      <c r="ADE41" s="334"/>
      <c r="ADF41" s="334"/>
      <c r="ADG41" s="334"/>
      <c r="ADH41" s="334"/>
      <c r="ADI41" s="334"/>
      <c r="ADJ41" s="334"/>
      <c r="ADK41" s="334"/>
      <c r="ADL41" s="334"/>
      <c r="ADM41" s="334"/>
      <c r="ADN41" s="334"/>
      <c r="ADO41" s="334"/>
      <c r="ADP41" s="334"/>
      <c r="ADQ41" s="334"/>
      <c r="ADR41" s="334"/>
      <c r="ADS41" s="334"/>
      <c r="ADT41" s="334"/>
      <c r="ADU41" s="334"/>
      <c r="ADV41" s="334"/>
      <c r="ADW41" s="334"/>
      <c r="ADX41" s="334"/>
      <c r="ADY41" s="334"/>
      <c r="ADZ41" s="334"/>
      <c r="AEA41" s="334"/>
      <c r="AEB41" s="334"/>
      <c r="AEC41" s="334"/>
      <c r="AED41" s="334"/>
      <c r="AEE41" s="334"/>
      <c r="AEF41" s="334"/>
      <c r="AEG41" s="334"/>
      <c r="AEH41" s="334"/>
      <c r="AEI41" s="334"/>
      <c r="AEJ41" s="334"/>
      <c r="AEK41" s="334"/>
      <c r="AEL41" s="334"/>
      <c r="AEM41" s="334"/>
      <c r="AEN41" s="334"/>
      <c r="AEO41" s="334"/>
      <c r="AEP41" s="334"/>
      <c r="AEQ41" s="334"/>
      <c r="AER41" s="334"/>
      <c r="AES41" s="334"/>
      <c r="AET41" s="334"/>
      <c r="AEU41" s="334"/>
      <c r="AEV41" s="334"/>
      <c r="AEW41" s="334"/>
      <c r="AEX41" s="334"/>
      <c r="AEY41" s="334"/>
      <c r="AEZ41" s="334"/>
      <c r="AFA41" s="334"/>
      <c r="AFB41" s="334"/>
      <c r="AFC41" s="334"/>
      <c r="AFD41" s="334"/>
      <c r="AFE41" s="334"/>
      <c r="AFF41" s="334"/>
      <c r="AFG41" s="334"/>
      <c r="AFH41" s="334"/>
      <c r="AFI41" s="334"/>
      <c r="AFJ41" s="334"/>
      <c r="AFK41" s="334"/>
      <c r="AFL41" s="334"/>
      <c r="AFM41" s="334"/>
      <c r="AFN41" s="334"/>
      <c r="AFO41" s="334"/>
      <c r="AFP41" s="334"/>
      <c r="AFQ41" s="334"/>
      <c r="AFR41" s="334"/>
      <c r="AFS41" s="334"/>
      <c r="AFT41" s="334"/>
      <c r="AFU41" s="334"/>
      <c r="AFV41" s="334"/>
      <c r="AFW41" s="334"/>
      <c r="AFX41" s="334"/>
      <c r="AFY41" s="334"/>
      <c r="AFZ41" s="334"/>
      <c r="AGA41" s="334"/>
      <c r="AGB41" s="334"/>
      <c r="AGC41" s="334"/>
      <c r="AGD41" s="334"/>
      <c r="AGE41" s="334"/>
      <c r="AGF41" s="334"/>
      <c r="AGG41" s="334"/>
      <c r="AGH41" s="334"/>
      <c r="AGI41" s="334"/>
      <c r="AGJ41" s="334"/>
      <c r="AGK41" s="334"/>
      <c r="AGL41" s="334"/>
      <c r="AGM41" s="334"/>
      <c r="AGN41" s="334"/>
      <c r="AGO41" s="334"/>
      <c r="AGP41" s="334"/>
      <c r="AGQ41" s="334"/>
      <c r="AGR41" s="334"/>
      <c r="AGS41" s="334"/>
      <c r="AGT41" s="334"/>
      <c r="AGU41" s="334"/>
      <c r="AGV41" s="334"/>
      <c r="AGW41" s="334"/>
      <c r="AGX41" s="334"/>
      <c r="AGY41" s="334"/>
      <c r="AGZ41" s="334"/>
      <c r="AHA41" s="334"/>
      <c r="AHB41" s="334"/>
      <c r="AHC41" s="334"/>
      <c r="AHD41" s="334"/>
      <c r="AHE41" s="334"/>
      <c r="AHF41" s="334"/>
      <c r="AHG41" s="334"/>
      <c r="AHH41" s="334"/>
      <c r="AHI41" s="334"/>
      <c r="AHJ41" s="334"/>
      <c r="AHK41" s="334"/>
      <c r="AHL41" s="334"/>
      <c r="AHM41" s="334"/>
      <c r="AHN41" s="334"/>
      <c r="AHO41" s="334"/>
      <c r="AHP41" s="334"/>
      <c r="AHQ41" s="334"/>
      <c r="AHR41" s="334"/>
      <c r="AHS41" s="334"/>
      <c r="AHT41" s="334"/>
      <c r="AHU41" s="334"/>
      <c r="AHV41" s="334"/>
      <c r="AHW41" s="334"/>
      <c r="AHX41" s="334"/>
      <c r="AHY41" s="334"/>
      <c r="AHZ41" s="334"/>
      <c r="AIA41" s="334"/>
      <c r="AIB41" s="334"/>
      <c r="AIC41" s="334"/>
      <c r="AID41" s="334"/>
      <c r="AIE41" s="334"/>
      <c r="AIF41" s="334"/>
      <c r="AIG41" s="334"/>
      <c r="AIH41" s="334"/>
      <c r="AII41" s="334"/>
      <c r="AIJ41" s="334"/>
      <c r="AIK41" s="334"/>
      <c r="AIL41" s="334"/>
      <c r="AIM41" s="334"/>
      <c r="AIN41" s="334"/>
      <c r="AIO41" s="334"/>
      <c r="AIP41" s="334"/>
      <c r="AIQ41" s="334"/>
      <c r="AIR41" s="334"/>
      <c r="AIS41" s="334"/>
      <c r="AIT41" s="334"/>
      <c r="AIU41" s="334"/>
      <c r="AIV41" s="334"/>
      <c r="AIW41" s="334"/>
      <c r="AIX41" s="334"/>
      <c r="AIY41" s="334"/>
      <c r="AIZ41" s="334"/>
      <c r="AJA41" s="334"/>
      <c r="AJB41" s="334"/>
      <c r="AJC41" s="334"/>
      <c r="AJD41" s="334"/>
      <c r="AJE41" s="334"/>
      <c r="AJF41" s="334"/>
      <c r="AJG41" s="334"/>
      <c r="AJH41" s="334"/>
      <c r="AJI41" s="334"/>
      <c r="AJJ41" s="334"/>
      <c r="AJK41" s="334"/>
      <c r="AJL41" s="334"/>
      <c r="AJM41" s="334"/>
      <c r="AJN41" s="334"/>
      <c r="AJO41" s="334"/>
      <c r="AJP41" s="334"/>
      <c r="AJQ41" s="334"/>
      <c r="AJR41" s="334"/>
      <c r="AJS41" s="334"/>
      <c r="AJT41" s="334"/>
      <c r="AJU41" s="334"/>
      <c r="AJV41" s="334"/>
      <c r="AJW41" s="334"/>
      <c r="AJX41" s="334"/>
      <c r="AJY41" s="334"/>
      <c r="AJZ41" s="334"/>
      <c r="AKA41" s="334"/>
      <c r="AKB41" s="334"/>
      <c r="AKC41" s="334"/>
      <c r="AKD41" s="334"/>
      <c r="AKE41" s="334"/>
      <c r="AKF41" s="334"/>
      <c r="AKG41" s="334"/>
      <c r="AKH41" s="334"/>
      <c r="AKI41" s="334"/>
      <c r="AKJ41" s="334"/>
      <c r="AKK41" s="334"/>
      <c r="AKL41" s="334"/>
      <c r="AKM41" s="334"/>
      <c r="AKN41" s="334"/>
      <c r="AKO41" s="334"/>
      <c r="AKP41" s="334"/>
      <c r="AKQ41" s="334"/>
      <c r="AKR41" s="334"/>
      <c r="AKS41" s="334"/>
      <c r="AKT41" s="334"/>
      <c r="AKU41" s="334"/>
      <c r="AKV41" s="334"/>
      <c r="AKW41" s="334"/>
      <c r="AKX41" s="334"/>
      <c r="AKY41" s="334"/>
      <c r="AKZ41" s="334"/>
      <c r="ALA41" s="334"/>
      <c r="ALB41" s="334"/>
      <c r="ALC41" s="334"/>
      <c r="ALD41" s="334"/>
      <c r="ALE41" s="334"/>
      <c r="ALF41" s="334"/>
      <c r="ALG41" s="334"/>
      <c r="ALH41" s="334"/>
      <c r="ALI41" s="334"/>
      <c r="ALJ41" s="334"/>
      <c r="ALK41" s="334"/>
      <c r="ALL41" s="334"/>
      <c r="ALM41" s="334"/>
      <c r="ALN41" s="334"/>
      <c r="ALO41" s="334"/>
      <c r="ALP41" s="334"/>
      <c r="ALQ41" s="334"/>
      <c r="ALR41" s="334"/>
      <c r="ALS41" s="334"/>
      <c r="ALT41" s="334"/>
      <c r="ALU41" s="334"/>
      <c r="ALV41" s="334"/>
      <c r="ALW41" s="334"/>
      <c r="ALX41" s="334"/>
      <c r="ALY41" s="334"/>
      <c r="ALZ41" s="334"/>
      <c r="AMA41" s="334"/>
      <c r="AMB41" s="334"/>
      <c r="AMC41" s="334"/>
      <c r="AMD41" s="334"/>
      <c r="AME41" s="334"/>
      <c r="AMF41" s="334"/>
      <c r="AMG41" s="334"/>
      <c r="AMH41" s="334"/>
      <c r="AMI41" s="334"/>
      <c r="AMJ41" s="334"/>
      <c r="AMK41" s="334"/>
      <c r="AML41" s="334"/>
      <c r="AMM41" s="334"/>
      <c r="AMN41" s="334"/>
      <c r="AMO41" s="334"/>
      <c r="AMP41" s="334"/>
      <c r="AMQ41" s="334"/>
      <c r="AMR41" s="334"/>
      <c r="AMS41" s="334"/>
      <c r="AMT41" s="334"/>
      <c r="AMU41" s="334"/>
      <c r="AMV41" s="334"/>
      <c r="AMW41" s="334"/>
      <c r="AMX41" s="334"/>
      <c r="AMY41" s="334"/>
      <c r="AMZ41" s="334"/>
    </row>
    <row r="42" spans="1:1040" s="333" customFormat="1" ht="13.5" customHeight="1" x14ac:dyDescent="0.25">
      <c r="A42" s="334"/>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5"/>
      <c r="AA42" s="335"/>
      <c r="AB42" s="335"/>
      <c r="AW42" s="334"/>
      <c r="AX42" s="334"/>
      <c r="AY42" s="334"/>
      <c r="AZ42" s="334"/>
      <c r="BA42" s="334"/>
      <c r="BB42" s="334"/>
      <c r="BC42" s="334"/>
      <c r="BD42" s="334"/>
      <c r="BE42" s="334"/>
      <c r="BF42" s="334"/>
      <c r="BG42" s="334"/>
      <c r="BH42" s="334"/>
      <c r="BI42" s="334"/>
      <c r="BJ42" s="334"/>
      <c r="BK42" s="334"/>
      <c r="BL42" s="334"/>
      <c r="BM42" s="334"/>
      <c r="BN42" s="334"/>
      <c r="BO42" s="334"/>
      <c r="BP42" s="334"/>
      <c r="BQ42" s="334"/>
      <c r="BR42" s="334"/>
      <c r="BS42" s="334"/>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4"/>
      <c r="FU42" s="334"/>
      <c r="FV42" s="334"/>
      <c r="FW42" s="334"/>
      <c r="FX42" s="334"/>
      <c r="FY42" s="334"/>
      <c r="FZ42" s="334"/>
      <c r="GA42" s="334"/>
      <c r="GB42" s="334"/>
      <c r="GC42" s="334"/>
      <c r="GD42" s="334"/>
      <c r="GE42" s="334"/>
      <c r="GF42" s="334"/>
      <c r="GG42" s="334"/>
      <c r="GH42" s="334"/>
      <c r="GI42" s="334"/>
      <c r="GJ42" s="334"/>
      <c r="GK42" s="334"/>
      <c r="GL42" s="334"/>
      <c r="GM42" s="334"/>
      <c r="GN42" s="334"/>
      <c r="GO42" s="334"/>
      <c r="GP42" s="334"/>
      <c r="GQ42" s="334"/>
      <c r="GR42" s="334"/>
      <c r="GS42" s="334"/>
      <c r="GT42" s="334"/>
      <c r="GU42" s="334"/>
      <c r="GV42" s="334"/>
      <c r="GW42" s="334"/>
      <c r="GX42" s="334"/>
      <c r="GY42" s="334"/>
      <c r="GZ42" s="334"/>
      <c r="HA42" s="334"/>
      <c r="HB42" s="334"/>
      <c r="HC42" s="334"/>
      <c r="HD42" s="334"/>
      <c r="HE42" s="334"/>
      <c r="HF42" s="334"/>
      <c r="HG42" s="334"/>
      <c r="HH42" s="334"/>
      <c r="HI42" s="334"/>
      <c r="HJ42" s="334"/>
      <c r="HK42" s="334"/>
      <c r="HL42" s="334"/>
      <c r="HM42" s="334"/>
      <c r="HN42" s="334"/>
      <c r="HO42" s="334"/>
      <c r="HP42" s="334"/>
      <c r="HQ42" s="334"/>
      <c r="HR42" s="334"/>
      <c r="HS42" s="334"/>
      <c r="HT42" s="334"/>
      <c r="HU42" s="334"/>
      <c r="HV42" s="334"/>
      <c r="HW42" s="334"/>
      <c r="HX42" s="334"/>
      <c r="HY42" s="334"/>
      <c r="HZ42" s="334"/>
      <c r="IA42" s="334"/>
      <c r="IB42" s="334"/>
      <c r="IC42" s="334"/>
      <c r="ID42" s="334"/>
      <c r="IE42" s="334"/>
      <c r="IF42" s="334"/>
      <c r="IG42" s="334"/>
      <c r="IH42" s="334"/>
      <c r="II42" s="334"/>
      <c r="IJ42" s="334"/>
      <c r="IK42" s="334"/>
      <c r="IL42" s="334"/>
      <c r="IM42" s="334"/>
      <c r="IN42" s="334"/>
      <c r="IO42" s="334"/>
      <c r="IP42" s="334"/>
      <c r="IQ42" s="334"/>
      <c r="IR42" s="334"/>
      <c r="IS42" s="334"/>
      <c r="IT42" s="334"/>
      <c r="IU42" s="334"/>
      <c r="IV42" s="334"/>
      <c r="IW42" s="334"/>
      <c r="IX42" s="334"/>
      <c r="IY42" s="334"/>
      <c r="IZ42" s="334"/>
      <c r="JA42" s="334"/>
      <c r="JB42" s="334"/>
      <c r="JC42" s="334"/>
      <c r="JD42" s="334"/>
      <c r="JE42" s="334"/>
      <c r="JF42" s="334"/>
      <c r="JG42" s="334"/>
      <c r="JH42" s="334"/>
      <c r="JI42" s="334"/>
      <c r="JJ42" s="334"/>
      <c r="JK42" s="334"/>
      <c r="JL42" s="334"/>
      <c r="JM42" s="334"/>
      <c r="JN42" s="334"/>
      <c r="JO42" s="334"/>
      <c r="JP42" s="334"/>
      <c r="JQ42" s="334"/>
      <c r="JR42" s="334"/>
      <c r="JS42" s="334"/>
      <c r="JT42" s="334"/>
      <c r="JU42" s="334"/>
      <c r="JV42" s="334"/>
      <c r="JW42" s="334"/>
      <c r="JX42" s="334"/>
      <c r="JY42" s="334"/>
      <c r="JZ42" s="334"/>
      <c r="KA42" s="334"/>
      <c r="KB42" s="334"/>
      <c r="KC42" s="334"/>
      <c r="KD42" s="334"/>
      <c r="KE42" s="334"/>
      <c r="KF42" s="334"/>
      <c r="KG42" s="334"/>
      <c r="KH42" s="334"/>
      <c r="KI42" s="334"/>
      <c r="KJ42" s="334"/>
      <c r="KK42" s="334"/>
      <c r="KL42" s="334"/>
      <c r="KM42" s="334"/>
      <c r="KN42" s="334"/>
      <c r="KO42" s="334"/>
      <c r="KP42" s="334"/>
      <c r="KQ42" s="334"/>
      <c r="KR42" s="334"/>
      <c r="KS42" s="334"/>
      <c r="KT42" s="334"/>
      <c r="KU42" s="334"/>
      <c r="KV42" s="334"/>
      <c r="KW42" s="334"/>
      <c r="KX42" s="334"/>
      <c r="KY42" s="334"/>
      <c r="KZ42" s="334"/>
      <c r="LA42" s="334"/>
      <c r="LB42" s="334"/>
      <c r="LC42" s="334"/>
      <c r="LD42" s="334"/>
      <c r="LE42" s="334"/>
      <c r="LF42" s="334"/>
      <c r="LG42" s="334"/>
      <c r="LH42" s="334"/>
      <c r="LI42" s="334"/>
      <c r="LJ42" s="334"/>
      <c r="LK42" s="334"/>
      <c r="LL42" s="334"/>
      <c r="LM42" s="334"/>
      <c r="LN42" s="334"/>
      <c r="LO42" s="334"/>
      <c r="LP42" s="334"/>
      <c r="LQ42" s="334"/>
      <c r="LR42" s="334"/>
      <c r="LS42" s="334"/>
      <c r="LT42" s="334"/>
      <c r="LU42" s="334"/>
      <c r="LV42" s="334"/>
      <c r="LW42" s="334"/>
      <c r="LX42" s="334"/>
      <c r="LY42" s="334"/>
      <c r="LZ42" s="334"/>
      <c r="MA42" s="334"/>
      <c r="MB42" s="334"/>
      <c r="MC42" s="334"/>
      <c r="MD42" s="334"/>
      <c r="ME42" s="334"/>
      <c r="MF42" s="334"/>
      <c r="MG42" s="334"/>
      <c r="MH42" s="334"/>
      <c r="MI42" s="334"/>
      <c r="MJ42" s="334"/>
      <c r="MK42" s="334"/>
      <c r="ML42" s="334"/>
      <c r="MM42" s="334"/>
      <c r="MN42" s="334"/>
      <c r="MO42" s="334"/>
      <c r="MP42" s="334"/>
      <c r="MQ42" s="334"/>
      <c r="MR42" s="334"/>
      <c r="MS42" s="334"/>
      <c r="MT42" s="334"/>
      <c r="MU42" s="334"/>
      <c r="MV42" s="334"/>
      <c r="MW42" s="334"/>
      <c r="MX42" s="334"/>
      <c r="MY42" s="334"/>
      <c r="MZ42" s="334"/>
      <c r="NA42" s="334"/>
      <c r="NB42" s="334"/>
      <c r="NC42" s="334"/>
      <c r="ND42" s="334"/>
      <c r="NE42" s="334"/>
      <c r="NF42" s="334"/>
      <c r="NG42" s="334"/>
      <c r="NH42" s="334"/>
      <c r="NI42" s="334"/>
      <c r="NJ42" s="334"/>
      <c r="NK42" s="334"/>
      <c r="NL42" s="334"/>
      <c r="NM42" s="334"/>
      <c r="NN42" s="334"/>
      <c r="NO42" s="334"/>
      <c r="NP42" s="334"/>
      <c r="NQ42" s="334"/>
      <c r="NR42" s="334"/>
      <c r="NS42" s="334"/>
      <c r="NT42" s="334"/>
      <c r="NU42" s="334"/>
      <c r="NV42" s="334"/>
      <c r="NW42" s="334"/>
      <c r="NX42" s="334"/>
      <c r="NY42" s="334"/>
      <c r="NZ42" s="334"/>
      <c r="OA42" s="334"/>
      <c r="OB42" s="334"/>
      <c r="OC42" s="334"/>
      <c r="OD42" s="334"/>
      <c r="OE42" s="334"/>
      <c r="OF42" s="334"/>
      <c r="OG42" s="334"/>
      <c r="OH42" s="334"/>
      <c r="OI42" s="334"/>
      <c r="OJ42" s="334"/>
      <c r="OK42" s="334"/>
      <c r="OL42" s="334"/>
      <c r="OM42" s="334"/>
      <c r="ON42" s="334"/>
      <c r="OO42" s="334"/>
      <c r="OP42" s="334"/>
      <c r="OQ42" s="334"/>
      <c r="OR42" s="334"/>
      <c r="OS42" s="334"/>
      <c r="OT42" s="334"/>
      <c r="OU42" s="334"/>
      <c r="OV42" s="334"/>
      <c r="OW42" s="334"/>
      <c r="OX42" s="334"/>
      <c r="OY42" s="334"/>
      <c r="OZ42" s="334"/>
      <c r="PA42" s="334"/>
      <c r="PB42" s="334"/>
      <c r="PC42" s="334"/>
      <c r="PD42" s="334"/>
      <c r="PE42" s="334"/>
      <c r="PF42" s="334"/>
      <c r="PG42" s="334"/>
      <c r="PH42" s="334"/>
      <c r="PI42" s="334"/>
      <c r="PJ42" s="334"/>
      <c r="PK42" s="334"/>
      <c r="PL42" s="334"/>
      <c r="PM42" s="334"/>
      <c r="PN42" s="334"/>
      <c r="PO42" s="334"/>
      <c r="PP42" s="334"/>
      <c r="PQ42" s="334"/>
      <c r="PR42" s="334"/>
      <c r="PS42" s="334"/>
      <c r="PT42" s="334"/>
      <c r="PU42" s="334"/>
      <c r="PV42" s="334"/>
      <c r="PW42" s="334"/>
      <c r="PX42" s="334"/>
      <c r="PY42" s="334"/>
      <c r="PZ42" s="334"/>
      <c r="QA42" s="334"/>
      <c r="QB42" s="334"/>
      <c r="QC42" s="334"/>
      <c r="QD42" s="334"/>
      <c r="QE42" s="334"/>
      <c r="QF42" s="334"/>
      <c r="QG42" s="334"/>
      <c r="QH42" s="334"/>
      <c r="QI42" s="334"/>
      <c r="QJ42" s="334"/>
      <c r="QK42" s="334"/>
      <c r="QL42" s="334"/>
      <c r="QM42" s="334"/>
      <c r="QN42" s="334"/>
      <c r="QO42" s="334"/>
      <c r="QP42" s="334"/>
      <c r="QQ42" s="334"/>
      <c r="QR42" s="334"/>
      <c r="QS42" s="334"/>
      <c r="QT42" s="334"/>
      <c r="QU42" s="334"/>
      <c r="QV42" s="334"/>
      <c r="QW42" s="334"/>
      <c r="QX42" s="334"/>
      <c r="QY42" s="334"/>
      <c r="QZ42" s="334"/>
      <c r="RA42" s="334"/>
      <c r="RB42" s="334"/>
      <c r="RC42" s="334"/>
      <c r="RD42" s="334"/>
      <c r="RE42" s="334"/>
      <c r="RF42" s="334"/>
      <c r="RG42" s="334"/>
      <c r="RH42" s="334"/>
      <c r="RI42" s="334"/>
      <c r="RJ42" s="334"/>
      <c r="RK42" s="334"/>
      <c r="RL42" s="334"/>
      <c r="RM42" s="334"/>
      <c r="RN42" s="334"/>
      <c r="RO42" s="334"/>
      <c r="RP42" s="334"/>
      <c r="RQ42" s="334"/>
      <c r="RR42" s="334"/>
      <c r="RS42" s="334"/>
      <c r="RT42" s="334"/>
      <c r="RU42" s="334"/>
      <c r="RV42" s="334"/>
      <c r="RW42" s="334"/>
      <c r="RX42" s="334"/>
      <c r="RY42" s="334"/>
      <c r="RZ42" s="334"/>
      <c r="SA42" s="334"/>
      <c r="SB42" s="334"/>
      <c r="SC42" s="334"/>
      <c r="SD42" s="334"/>
      <c r="SE42" s="334"/>
      <c r="SF42" s="334"/>
      <c r="SG42" s="334"/>
      <c r="SH42" s="334"/>
      <c r="SI42" s="334"/>
      <c r="SJ42" s="334"/>
      <c r="SK42" s="334"/>
      <c r="SL42" s="334"/>
      <c r="SM42" s="334"/>
      <c r="SN42" s="334"/>
      <c r="SO42" s="334"/>
      <c r="SP42" s="334"/>
      <c r="SQ42" s="334"/>
      <c r="SR42" s="334"/>
      <c r="SS42" s="334"/>
      <c r="ST42" s="334"/>
      <c r="SU42" s="334"/>
      <c r="SV42" s="334"/>
      <c r="SW42" s="334"/>
      <c r="SX42" s="334"/>
      <c r="SY42" s="334"/>
      <c r="SZ42" s="334"/>
      <c r="TA42" s="334"/>
      <c r="TB42" s="334"/>
      <c r="TC42" s="334"/>
      <c r="TD42" s="334"/>
      <c r="TE42" s="334"/>
      <c r="TF42" s="334"/>
      <c r="TG42" s="334"/>
      <c r="TH42" s="334"/>
      <c r="TI42" s="334"/>
      <c r="TJ42" s="334"/>
      <c r="TK42" s="334"/>
      <c r="TL42" s="334"/>
      <c r="TM42" s="334"/>
      <c r="TN42" s="334"/>
      <c r="TO42" s="334"/>
      <c r="TP42" s="334"/>
      <c r="TQ42" s="334"/>
      <c r="TR42" s="334"/>
      <c r="TS42" s="334"/>
      <c r="TT42" s="334"/>
      <c r="TU42" s="334"/>
      <c r="TV42" s="334"/>
      <c r="TW42" s="334"/>
      <c r="TX42" s="334"/>
      <c r="TY42" s="334"/>
      <c r="TZ42" s="334"/>
      <c r="UA42" s="334"/>
      <c r="UB42" s="334"/>
      <c r="UC42" s="334"/>
      <c r="UD42" s="334"/>
      <c r="UE42" s="334"/>
      <c r="UF42" s="334"/>
      <c r="UG42" s="334"/>
      <c r="UH42" s="334"/>
      <c r="UI42" s="334"/>
      <c r="UJ42" s="334"/>
      <c r="UK42" s="334"/>
      <c r="UL42" s="334"/>
      <c r="UM42" s="334"/>
      <c r="UN42" s="334"/>
      <c r="UO42" s="334"/>
      <c r="UP42" s="334"/>
      <c r="UQ42" s="334"/>
      <c r="UR42" s="334"/>
      <c r="US42" s="334"/>
      <c r="UT42" s="334"/>
      <c r="UU42" s="334"/>
      <c r="UV42" s="334"/>
      <c r="UW42" s="334"/>
      <c r="UX42" s="334"/>
      <c r="UY42" s="334"/>
      <c r="UZ42" s="334"/>
      <c r="VA42" s="334"/>
      <c r="VB42" s="334"/>
      <c r="VC42" s="334"/>
      <c r="VD42" s="334"/>
      <c r="VE42" s="334"/>
      <c r="VF42" s="334"/>
      <c r="VG42" s="334"/>
      <c r="VH42" s="334"/>
      <c r="VI42" s="334"/>
      <c r="VJ42" s="334"/>
      <c r="VK42" s="334"/>
      <c r="VL42" s="334"/>
      <c r="VM42" s="334"/>
      <c r="VN42" s="334"/>
      <c r="VO42" s="334"/>
      <c r="VP42" s="334"/>
      <c r="VQ42" s="334"/>
      <c r="VR42" s="334"/>
      <c r="VS42" s="334"/>
      <c r="VT42" s="334"/>
      <c r="VU42" s="334"/>
      <c r="VV42" s="334"/>
      <c r="VW42" s="334"/>
      <c r="VX42" s="334"/>
      <c r="VY42" s="334"/>
      <c r="VZ42" s="334"/>
      <c r="WA42" s="334"/>
      <c r="WB42" s="334"/>
      <c r="WC42" s="334"/>
      <c r="WD42" s="334"/>
      <c r="WE42" s="334"/>
      <c r="WF42" s="334"/>
      <c r="WG42" s="334"/>
      <c r="WH42" s="334"/>
      <c r="WI42" s="334"/>
      <c r="WJ42" s="334"/>
      <c r="WK42" s="334"/>
      <c r="WL42" s="334"/>
      <c r="WM42" s="334"/>
      <c r="WN42" s="334"/>
      <c r="WO42" s="334"/>
      <c r="WP42" s="334"/>
      <c r="WQ42" s="334"/>
      <c r="WR42" s="334"/>
      <c r="WS42" s="334"/>
      <c r="WT42" s="334"/>
      <c r="WU42" s="334"/>
      <c r="WV42" s="334"/>
      <c r="WW42" s="334"/>
      <c r="WX42" s="334"/>
      <c r="WY42" s="334"/>
      <c r="WZ42" s="334"/>
      <c r="XA42" s="334"/>
      <c r="XB42" s="334"/>
      <c r="XC42" s="334"/>
      <c r="XD42" s="334"/>
      <c r="XE42" s="334"/>
      <c r="XF42" s="334"/>
      <c r="XG42" s="334"/>
      <c r="XH42" s="334"/>
      <c r="XI42" s="334"/>
      <c r="XJ42" s="334"/>
      <c r="XK42" s="334"/>
      <c r="XL42" s="334"/>
      <c r="XM42" s="334"/>
      <c r="XN42" s="334"/>
      <c r="XO42" s="334"/>
      <c r="XP42" s="334"/>
      <c r="XQ42" s="334"/>
      <c r="XR42" s="334"/>
      <c r="XS42" s="334"/>
      <c r="XT42" s="334"/>
      <c r="XU42" s="334"/>
      <c r="XV42" s="334"/>
      <c r="XW42" s="334"/>
      <c r="XX42" s="334"/>
      <c r="XY42" s="334"/>
      <c r="XZ42" s="334"/>
      <c r="YA42" s="334"/>
      <c r="YB42" s="334"/>
      <c r="YC42" s="334"/>
      <c r="YD42" s="334"/>
      <c r="YE42" s="334"/>
      <c r="YF42" s="334"/>
      <c r="YG42" s="334"/>
      <c r="YH42" s="334"/>
      <c r="YI42" s="334"/>
      <c r="YJ42" s="334"/>
      <c r="YK42" s="334"/>
      <c r="YL42" s="334"/>
      <c r="YM42" s="334"/>
      <c r="YN42" s="334"/>
      <c r="YO42" s="334"/>
      <c r="YP42" s="334"/>
      <c r="YQ42" s="334"/>
      <c r="YR42" s="334"/>
      <c r="YS42" s="334"/>
      <c r="YT42" s="334"/>
      <c r="YU42" s="334"/>
      <c r="YV42" s="334"/>
      <c r="YW42" s="334"/>
      <c r="YX42" s="334"/>
      <c r="YY42" s="334"/>
      <c r="YZ42" s="334"/>
      <c r="ZA42" s="334"/>
      <c r="ZB42" s="334"/>
      <c r="ZC42" s="334"/>
      <c r="ZD42" s="334"/>
      <c r="ZE42" s="334"/>
      <c r="ZF42" s="334"/>
      <c r="ZG42" s="334"/>
      <c r="ZH42" s="334"/>
      <c r="ZI42" s="334"/>
      <c r="ZJ42" s="334"/>
      <c r="ZK42" s="334"/>
      <c r="ZL42" s="334"/>
      <c r="ZM42" s="334"/>
      <c r="ZN42" s="334"/>
      <c r="ZO42" s="334"/>
      <c r="ZP42" s="334"/>
      <c r="ZQ42" s="334"/>
      <c r="ZR42" s="334"/>
      <c r="ZS42" s="334"/>
      <c r="ZT42" s="334"/>
      <c r="ZU42" s="334"/>
      <c r="ZV42" s="334"/>
      <c r="ZW42" s="334"/>
      <c r="ZX42" s="334"/>
      <c r="ZY42" s="334"/>
      <c r="ZZ42" s="334"/>
      <c r="AAA42" s="334"/>
      <c r="AAB42" s="334"/>
      <c r="AAC42" s="334"/>
      <c r="AAD42" s="334"/>
      <c r="AAE42" s="334"/>
      <c r="AAF42" s="334"/>
      <c r="AAG42" s="334"/>
      <c r="AAH42" s="334"/>
      <c r="AAI42" s="334"/>
      <c r="AAJ42" s="334"/>
      <c r="AAK42" s="334"/>
      <c r="AAL42" s="334"/>
      <c r="AAM42" s="334"/>
      <c r="AAN42" s="334"/>
      <c r="AAO42" s="334"/>
      <c r="AAP42" s="334"/>
      <c r="AAQ42" s="334"/>
      <c r="AAR42" s="334"/>
      <c r="AAS42" s="334"/>
      <c r="AAT42" s="334"/>
      <c r="AAU42" s="334"/>
      <c r="AAV42" s="334"/>
      <c r="AAW42" s="334"/>
      <c r="AAX42" s="334"/>
      <c r="AAY42" s="334"/>
      <c r="AAZ42" s="334"/>
      <c r="ABA42" s="334"/>
      <c r="ABB42" s="334"/>
      <c r="ABC42" s="334"/>
      <c r="ABD42" s="334"/>
      <c r="ABE42" s="334"/>
      <c r="ABF42" s="334"/>
      <c r="ABG42" s="334"/>
      <c r="ABH42" s="334"/>
      <c r="ABI42" s="334"/>
      <c r="ABJ42" s="334"/>
      <c r="ABK42" s="334"/>
      <c r="ABL42" s="334"/>
      <c r="ABM42" s="334"/>
      <c r="ABN42" s="334"/>
      <c r="ABO42" s="334"/>
      <c r="ABP42" s="334"/>
      <c r="ABQ42" s="334"/>
      <c r="ABR42" s="334"/>
      <c r="ABS42" s="334"/>
      <c r="ABT42" s="334"/>
      <c r="ABU42" s="334"/>
      <c r="ABV42" s="334"/>
      <c r="ABW42" s="334"/>
      <c r="ABX42" s="334"/>
      <c r="ABY42" s="334"/>
      <c r="ABZ42" s="334"/>
      <c r="ACA42" s="334"/>
      <c r="ACB42" s="334"/>
      <c r="ACC42" s="334"/>
      <c r="ACD42" s="334"/>
      <c r="ACE42" s="334"/>
      <c r="ACF42" s="334"/>
      <c r="ACG42" s="334"/>
      <c r="ACH42" s="334"/>
      <c r="ACI42" s="334"/>
      <c r="ACJ42" s="334"/>
      <c r="ACK42" s="334"/>
      <c r="ACL42" s="334"/>
      <c r="ACM42" s="334"/>
      <c r="ACN42" s="334"/>
      <c r="ACO42" s="334"/>
      <c r="ACP42" s="334"/>
      <c r="ACQ42" s="334"/>
      <c r="ACR42" s="334"/>
      <c r="ACS42" s="334"/>
      <c r="ACT42" s="334"/>
      <c r="ACU42" s="334"/>
      <c r="ACV42" s="334"/>
      <c r="ACW42" s="334"/>
      <c r="ACX42" s="334"/>
      <c r="ACY42" s="334"/>
      <c r="ACZ42" s="334"/>
      <c r="ADA42" s="334"/>
      <c r="ADB42" s="334"/>
      <c r="ADC42" s="334"/>
      <c r="ADD42" s="334"/>
      <c r="ADE42" s="334"/>
      <c r="ADF42" s="334"/>
      <c r="ADG42" s="334"/>
      <c r="ADH42" s="334"/>
      <c r="ADI42" s="334"/>
      <c r="ADJ42" s="334"/>
      <c r="ADK42" s="334"/>
      <c r="ADL42" s="334"/>
      <c r="ADM42" s="334"/>
      <c r="ADN42" s="334"/>
      <c r="ADO42" s="334"/>
      <c r="ADP42" s="334"/>
      <c r="ADQ42" s="334"/>
      <c r="ADR42" s="334"/>
      <c r="ADS42" s="334"/>
      <c r="ADT42" s="334"/>
      <c r="ADU42" s="334"/>
      <c r="ADV42" s="334"/>
      <c r="ADW42" s="334"/>
      <c r="ADX42" s="334"/>
      <c r="ADY42" s="334"/>
      <c r="ADZ42" s="334"/>
      <c r="AEA42" s="334"/>
      <c r="AEB42" s="334"/>
      <c r="AEC42" s="334"/>
      <c r="AED42" s="334"/>
      <c r="AEE42" s="334"/>
      <c r="AEF42" s="334"/>
      <c r="AEG42" s="334"/>
      <c r="AEH42" s="334"/>
      <c r="AEI42" s="334"/>
      <c r="AEJ42" s="334"/>
      <c r="AEK42" s="334"/>
      <c r="AEL42" s="334"/>
      <c r="AEM42" s="334"/>
      <c r="AEN42" s="334"/>
      <c r="AEO42" s="334"/>
      <c r="AEP42" s="334"/>
      <c r="AEQ42" s="334"/>
      <c r="AER42" s="334"/>
      <c r="AES42" s="334"/>
      <c r="AET42" s="334"/>
      <c r="AEU42" s="334"/>
      <c r="AEV42" s="334"/>
      <c r="AEW42" s="334"/>
      <c r="AEX42" s="334"/>
      <c r="AEY42" s="334"/>
      <c r="AEZ42" s="334"/>
      <c r="AFA42" s="334"/>
      <c r="AFB42" s="334"/>
      <c r="AFC42" s="334"/>
      <c r="AFD42" s="334"/>
      <c r="AFE42" s="334"/>
      <c r="AFF42" s="334"/>
      <c r="AFG42" s="334"/>
      <c r="AFH42" s="334"/>
      <c r="AFI42" s="334"/>
      <c r="AFJ42" s="334"/>
      <c r="AFK42" s="334"/>
      <c r="AFL42" s="334"/>
      <c r="AFM42" s="334"/>
      <c r="AFN42" s="334"/>
      <c r="AFO42" s="334"/>
      <c r="AFP42" s="334"/>
      <c r="AFQ42" s="334"/>
      <c r="AFR42" s="334"/>
      <c r="AFS42" s="334"/>
      <c r="AFT42" s="334"/>
      <c r="AFU42" s="334"/>
      <c r="AFV42" s="334"/>
      <c r="AFW42" s="334"/>
      <c r="AFX42" s="334"/>
      <c r="AFY42" s="334"/>
      <c r="AFZ42" s="334"/>
      <c r="AGA42" s="334"/>
      <c r="AGB42" s="334"/>
      <c r="AGC42" s="334"/>
      <c r="AGD42" s="334"/>
      <c r="AGE42" s="334"/>
      <c r="AGF42" s="334"/>
      <c r="AGG42" s="334"/>
      <c r="AGH42" s="334"/>
      <c r="AGI42" s="334"/>
      <c r="AGJ42" s="334"/>
      <c r="AGK42" s="334"/>
      <c r="AGL42" s="334"/>
      <c r="AGM42" s="334"/>
      <c r="AGN42" s="334"/>
      <c r="AGO42" s="334"/>
      <c r="AGP42" s="334"/>
      <c r="AGQ42" s="334"/>
      <c r="AGR42" s="334"/>
      <c r="AGS42" s="334"/>
      <c r="AGT42" s="334"/>
      <c r="AGU42" s="334"/>
      <c r="AGV42" s="334"/>
      <c r="AGW42" s="334"/>
      <c r="AGX42" s="334"/>
      <c r="AGY42" s="334"/>
      <c r="AGZ42" s="334"/>
      <c r="AHA42" s="334"/>
      <c r="AHB42" s="334"/>
      <c r="AHC42" s="334"/>
      <c r="AHD42" s="334"/>
      <c r="AHE42" s="334"/>
      <c r="AHF42" s="334"/>
      <c r="AHG42" s="334"/>
      <c r="AHH42" s="334"/>
      <c r="AHI42" s="334"/>
      <c r="AHJ42" s="334"/>
      <c r="AHK42" s="334"/>
      <c r="AHL42" s="334"/>
      <c r="AHM42" s="334"/>
      <c r="AHN42" s="334"/>
      <c r="AHO42" s="334"/>
      <c r="AHP42" s="334"/>
      <c r="AHQ42" s="334"/>
      <c r="AHR42" s="334"/>
      <c r="AHS42" s="334"/>
      <c r="AHT42" s="334"/>
      <c r="AHU42" s="334"/>
      <c r="AHV42" s="334"/>
      <c r="AHW42" s="334"/>
      <c r="AHX42" s="334"/>
      <c r="AHY42" s="334"/>
      <c r="AHZ42" s="334"/>
      <c r="AIA42" s="334"/>
      <c r="AIB42" s="334"/>
      <c r="AIC42" s="334"/>
      <c r="AID42" s="334"/>
      <c r="AIE42" s="334"/>
      <c r="AIF42" s="334"/>
      <c r="AIG42" s="334"/>
      <c r="AIH42" s="334"/>
      <c r="AII42" s="334"/>
      <c r="AIJ42" s="334"/>
      <c r="AIK42" s="334"/>
      <c r="AIL42" s="334"/>
      <c r="AIM42" s="334"/>
      <c r="AIN42" s="334"/>
      <c r="AIO42" s="334"/>
      <c r="AIP42" s="334"/>
      <c r="AIQ42" s="334"/>
      <c r="AIR42" s="334"/>
      <c r="AIS42" s="334"/>
      <c r="AIT42" s="334"/>
      <c r="AIU42" s="334"/>
      <c r="AIV42" s="334"/>
      <c r="AIW42" s="334"/>
      <c r="AIX42" s="334"/>
      <c r="AIY42" s="334"/>
      <c r="AIZ42" s="334"/>
      <c r="AJA42" s="334"/>
      <c r="AJB42" s="334"/>
      <c r="AJC42" s="334"/>
      <c r="AJD42" s="334"/>
      <c r="AJE42" s="334"/>
      <c r="AJF42" s="334"/>
      <c r="AJG42" s="334"/>
      <c r="AJH42" s="334"/>
      <c r="AJI42" s="334"/>
      <c r="AJJ42" s="334"/>
      <c r="AJK42" s="334"/>
      <c r="AJL42" s="334"/>
      <c r="AJM42" s="334"/>
      <c r="AJN42" s="334"/>
      <c r="AJO42" s="334"/>
      <c r="AJP42" s="334"/>
      <c r="AJQ42" s="334"/>
      <c r="AJR42" s="334"/>
      <c r="AJS42" s="334"/>
      <c r="AJT42" s="334"/>
      <c r="AJU42" s="334"/>
      <c r="AJV42" s="334"/>
      <c r="AJW42" s="334"/>
      <c r="AJX42" s="334"/>
      <c r="AJY42" s="334"/>
      <c r="AJZ42" s="334"/>
      <c r="AKA42" s="334"/>
      <c r="AKB42" s="334"/>
      <c r="AKC42" s="334"/>
      <c r="AKD42" s="334"/>
      <c r="AKE42" s="334"/>
      <c r="AKF42" s="334"/>
      <c r="AKG42" s="334"/>
      <c r="AKH42" s="334"/>
      <c r="AKI42" s="334"/>
      <c r="AKJ42" s="334"/>
      <c r="AKK42" s="334"/>
      <c r="AKL42" s="334"/>
      <c r="AKM42" s="334"/>
      <c r="AKN42" s="334"/>
      <c r="AKO42" s="334"/>
      <c r="AKP42" s="334"/>
      <c r="AKQ42" s="334"/>
      <c r="AKR42" s="334"/>
      <c r="AKS42" s="334"/>
      <c r="AKT42" s="334"/>
      <c r="AKU42" s="334"/>
      <c r="AKV42" s="334"/>
      <c r="AKW42" s="334"/>
      <c r="AKX42" s="334"/>
      <c r="AKY42" s="334"/>
      <c r="AKZ42" s="334"/>
      <c r="ALA42" s="334"/>
      <c r="ALB42" s="334"/>
      <c r="ALC42" s="334"/>
      <c r="ALD42" s="334"/>
      <c r="ALE42" s="334"/>
      <c r="ALF42" s="334"/>
      <c r="ALG42" s="334"/>
      <c r="ALH42" s="334"/>
      <c r="ALI42" s="334"/>
      <c r="ALJ42" s="334"/>
      <c r="ALK42" s="334"/>
      <c r="ALL42" s="334"/>
      <c r="ALM42" s="334"/>
      <c r="ALN42" s="334"/>
      <c r="ALO42" s="334"/>
      <c r="ALP42" s="334"/>
      <c r="ALQ42" s="334"/>
      <c r="ALR42" s="334"/>
      <c r="ALS42" s="334"/>
      <c r="ALT42" s="334"/>
      <c r="ALU42" s="334"/>
      <c r="ALV42" s="334"/>
      <c r="ALW42" s="334"/>
      <c r="ALX42" s="334"/>
      <c r="ALY42" s="334"/>
      <c r="ALZ42" s="334"/>
      <c r="AMA42" s="334"/>
      <c r="AMB42" s="334"/>
      <c r="AMC42" s="334"/>
      <c r="AMD42" s="334"/>
      <c r="AME42" s="334"/>
      <c r="AMF42" s="334"/>
      <c r="AMG42" s="334"/>
      <c r="AMH42" s="334"/>
      <c r="AMI42" s="334"/>
      <c r="AMJ42" s="334"/>
      <c r="AMK42" s="334"/>
      <c r="AML42" s="334"/>
      <c r="AMM42" s="334"/>
      <c r="AMN42" s="334"/>
      <c r="AMO42" s="334"/>
      <c r="AMP42" s="334"/>
      <c r="AMQ42" s="334"/>
      <c r="AMR42" s="334"/>
      <c r="AMS42" s="334"/>
      <c r="AMT42" s="334"/>
      <c r="AMU42" s="334"/>
      <c r="AMV42" s="334"/>
      <c r="AMW42" s="334"/>
      <c r="AMX42" s="334"/>
      <c r="AMY42" s="334"/>
      <c r="AMZ42" s="334"/>
    </row>
    <row r="43" spans="1:1040" s="333" customFormat="1" ht="13.5" customHeight="1" x14ac:dyDescent="0.25">
      <c r="A43" s="334"/>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5"/>
      <c r="AA43" s="335"/>
      <c r="AB43" s="335"/>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c r="EP43" s="334"/>
      <c r="EQ43" s="334"/>
      <c r="ER43" s="334"/>
      <c r="ES43" s="334"/>
      <c r="ET43" s="334"/>
      <c r="EU43" s="334"/>
      <c r="EV43" s="334"/>
      <c r="EW43" s="334"/>
      <c r="EX43" s="334"/>
      <c r="EY43" s="334"/>
      <c r="EZ43" s="334"/>
      <c r="FA43" s="334"/>
      <c r="FB43" s="334"/>
      <c r="FC43" s="334"/>
      <c r="FD43" s="334"/>
      <c r="FE43" s="334"/>
      <c r="FF43" s="334"/>
      <c r="FG43" s="334"/>
      <c r="FH43" s="334"/>
      <c r="FI43" s="334"/>
      <c r="FJ43" s="334"/>
      <c r="FK43" s="334"/>
      <c r="FL43" s="334"/>
      <c r="FM43" s="334"/>
      <c r="FN43" s="334"/>
      <c r="FO43" s="334"/>
      <c r="FP43" s="334"/>
      <c r="FQ43" s="334"/>
      <c r="FR43" s="334"/>
      <c r="FS43" s="334"/>
      <c r="FT43" s="334"/>
      <c r="FU43" s="334"/>
      <c r="FV43" s="334"/>
      <c r="FW43" s="334"/>
      <c r="FX43" s="334"/>
      <c r="FY43" s="334"/>
      <c r="FZ43" s="334"/>
      <c r="GA43" s="334"/>
      <c r="GB43" s="334"/>
      <c r="GC43" s="334"/>
      <c r="GD43" s="334"/>
      <c r="GE43" s="334"/>
      <c r="GF43" s="334"/>
      <c r="GG43" s="334"/>
      <c r="GH43" s="334"/>
      <c r="GI43" s="334"/>
      <c r="GJ43" s="334"/>
      <c r="GK43" s="334"/>
      <c r="GL43" s="334"/>
      <c r="GM43" s="334"/>
      <c r="GN43" s="334"/>
      <c r="GO43" s="334"/>
      <c r="GP43" s="334"/>
      <c r="GQ43" s="334"/>
      <c r="GR43" s="334"/>
      <c r="GS43" s="334"/>
      <c r="GT43" s="334"/>
      <c r="GU43" s="334"/>
      <c r="GV43" s="334"/>
      <c r="GW43" s="334"/>
      <c r="GX43" s="334"/>
      <c r="GY43" s="334"/>
      <c r="GZ43" s="334"/>
      <c r="HA43" s="334"/>
      <c r="HB43" s="334"/>
      <c r="HC43" s="334"/>
      <c r="HD43" s="334"/>
      <c r="HE43" s="334"/>
      <c r="HF43" s="334"/>
      <c r="HG43" s="334"/>
      <c r="HH43" s="334"/>
      <c r="HI43" s="334"/>
      <c r="HJ43" s="334"/>
      <c r="HK43" s="334"/>
      <c r="HL43" s="334"/>
      <c r="HM43" s="334"/>
      <c r="HN43" s="334"/>
      <c r="HO43" s="334"/>
      <c r="HP43" s="334"/>
      <c r="HQ43" s="334"/>
      <c r="HR43" s="334"/>
      <c r="HS43" s="334"/>
      <c r="HT43" s="334"/>
      <c r="HU43" s="334"/>
      <c r="HV43" s="334"/>
      <c r="HW43" s="334"/>
      <c r="HX43" s="334"/>
      <c r="HY43" s="334"/>
      <c r="HZ43" s="334"/>
      <c r="IA43" s="334"/>
      <c r="IB43" s="334"/>
      <c r="IC43" s="334"/>
      <c r="ID43" s="334"/>
      <c r="IE43" s="334"/>
      <c r="IF43" s="334"/>
      <c r="IG43" s="334"/>
      <c r="IH43" s="334"/>
      <c r="II43" s="334"/>
      <c r="IJ43" s="334"/>
      <c r="IK43" s="334"/>
      <c r="IL43" s="334"/>
      <c r="IM43" s="334"/>
      <c r="IN43" s="334"/>
      <c r="IO43" s="334"/>
      <c r="IP43" s="334"/>
      <c r="IQ43" s="334"/>
      <c r="IR43" s="334"/>
      <c r="IS43" s="334"/>
      <c r="IT43" s="334"/>
      <c r="IU43" s="334"/>
      <c r="IV43" s="334"/>
      <c r="IW43" s="334"/>
      <c r="IX43" s="334"/>
      <c r="IY43" s="334"/>
      <c r="IZ43" s="334"/>
      <c r="JA43" s="334"/>
      <c r="JB43" s="334"/>
      <c r="JC43" s="334"/>
      <c r="JD43" s="334"/>
      <c r="JE43" s="334"/>
      <c r="JF43" s="334"/>
      <c r="JG43" s="334"/>
      <c r="JH43" s="334"/>
      <c r="JI43" s="334"/>
      <c r="JJ43" s="334"/>
      <c r="JK43" s="334"/>
      <c r="JL43" s="334"/>
      <c r="JM43" s="334"/>
      <c r="JN43" s="334"/>
      <c r="JO43" s="334"/>
      <c r="JP43" s="334"/>
      <c r="JQ43" s="334"/>
      <c r="JR43" s="334"/>
      <c r="JS43" s="334"/>
      <c r="JT43" s="334"/>
      <c r="JU43" s="334"/>
      <c r="JV43" s="334"/>
      <c r="JW43" s="334"/>
      <c r="JX43" s="334"/>
      <c r="JY43" s="334"/>
      <c r="JZ43" s="334"/>
      <c r="KA43" s="334"/>
      <c r="KB43" s="334"/>
      <c r="KC43" s="334"/>
      <c r="KD43" s="334"/>
      <c r="KE43" s="334"/>
      <c r="KF43" s="334"/>
      <c r="KG43" s="334"/>
      <c r="KH43" s="334"/>
      <c r="KI43" s="334"/>
      <c r="KJ43" s="334"/>
      <c r="KK43" s="334"/>
      <c r="KL43" s="334"/>
      <c r="KM43" s="334"/>
      <c r="KN43" s="334"/>
      <c r="KO43" s="334"/>
      <c r="KP43" s="334"/>
      <c r="KQ43" s="334"/>
      <c r="KR43" s="334"/>
      <c r="KS43" s="334"/>
      <c r="KT43" s="334"/>
      <c r="KU43" s="334"/>
      <c r="KV43" s="334"/>
      <c r="KW43" s="334"/>
      <c r="KX43" s="334"/>
      <c r="KY43" s="334"/>
      <c r="KZ43" s="334"/>
      <c r="LA43" s="334"/>
      <c r="LB43" s="334"/>
      <c r="LC43" s="334"/>
      <c r="LD43" s="334"/>
      <c r="LE43" s="334"/>
      <c r="LF43" s="334"/>
      <c r="LG43" s="334"/>
      <c r="LH43" s="334"/>
      <c r="LI43" s="334"/>
      <c r="LJ43" s="334"/>
      <c r="LK43" s="334"/>
      <c r="LL43" s="334"/>
      <c r="LM43" s="334"/>
      <c r="LN43" s="334"/>
      <c r="LO43" s="334"/>
      <c r="LP43" s="334"/>
      <c r="LQ43" s="334"/>
      <c r="LR43" s="334"/>
      <c r="LS43" s="334"/>
      <c r="LT43" s="334"/>
      <c r="LU43" s="334"/>
      <c r="LV43" s="334"/>
      <c r="LW43" s="334"/>
      <c r="LX43" s="334"/>
      <c r="LY43" s="334"/>
      <c r="LZ43" s="334"/>
      <c r="MA43" s="334"/>
      <c r="MB43" s="334"/>
      <c r="MC43" s="334"/>
      <c r="MD43" s="334"/>
      <c r="ME43" s="334"/>
      <c r="MF43" s="334"/>
      <c r="MG43" s="334"/>
      <c r="MH43" s="334"/>
      <c r="MI43" s="334"/>
      <c r="MJ43" s="334"/>
      <c r="MK43" s="334"/>
      <c r="ML43" s="334"/>
      <c r="MM43" s="334"/>
      <c r="MN43" s="334"/>
      <c r="MO43" s="334"/>
      <c r="MP43" s="334"/>
      <c r="MQ43" s="334"/>
      <c r="MR43" s="334"/>
      <c r="MS43" s="334"/>
      <c r="MT43" s="334"/>
      <c r="MU43" s="334"/>
      <c r="MV43" s="334"/>
      <c r="MW43" s="334"/>
      <c r="MX43" s="334"/>
      <c r="MY43" s="334"/>
      <c r="MZ43" s="334"/>
      <c r="NA43" s="334"/>
      <c r="NB43" s="334"/>
      <c r="NC43" s="334"/>
      <c r="ND43" s="334"/>
      <c r="NE43" s="334"/>
      <c r="NF43" s="334"/>
      <c r="NG43" s="334"/>
      <c r="NH43" s="334"/>
      <c r="NI43" s="334"/>
      <c r="NJ43" s="334"/>
      <c r="NK43" s="334"/>
      <c r="NL43" s="334"/>
      <c r="NM43" s="334"/>
      <c r="NN43" s="334"/>
      <c r="NO43" s="334"/>
      <c r="NP43" s="334"/>
      <c r="NQ43" s="334"/>
      <c r="NR43" s="334"/>
      <c r="NS43" s="334"/>
      <c r="NT43" s="334"/>
      <c r="NU43" s="334"/>
      <c r="NV43" s="334"/>
      <c r="NW43" s="334"/>
      <c r="NX43" s="334"/>
      <c r="NY43" s="334"/>
      <c r="NZ43" s="334"/>
      <c r="OA43" s="334"/>
      <c r="OB43" s="334"/>
      <c r="OC43" s="334"/>
      <c r="OD43" s="334"/>
      <c r="OE43" s="334"/>
      <c r="OF43" s="334"/>
      <c r="OG43" s="334"/>
      <c r="OH43" s="334"/>
      <c r="OI43" s="334"/>
      <c r="OJ43" s="334"/>
      <c r="OK43" s="334"/>
      <c r="OL43" s="334"/>
      <c r="OM43" s="334"/>
      <c r="ON43" s="334"/>
      <c r="OO43" s="334"/>
      <c r="OP43" s="334"/>
      <c r="OQ43" s="334"/>
      <c r="OR43" s="334"/>
      <c r="OS43" s="334"/>
      <c r="OT43" s="334"/>
      <c r="OU43" s="334"/>
      <c r="OV43" s="334"/>
      <c r="OW43" s="334"/>
      <c r="OX43" s="334"/>
      <c r="OY43" s="334"/>
      <c r="OZ43" s="334"/>
      <c r="PA43" s="334"/>
      <c r="PB43" s="334"/>
      <c r="PC43" s="334"/>
      <c r="PD43" s="334"/>
      <c r="PE43" s="334"/>
      <c r="PF43" s="334"/>
      <c r="PG43" s="334"/>
      <c r="PH43" s="334"/>
      <c r="PI43" s="334"/>
      <c r="PJ43" s="334"/>
      <c r="PK43" s="334"/>
      <c r="PL43" s="334"/>
      <c r="PM43" s="334"/>
      <c r="PN43" s="334"/>
      <c r="PO43" s="334"/>
      <c r="PP43" s="334"/>
      <c r="PQ43" s="334"/>
      <c r="PR43" s="334"/>
      <c r="PS43" s="334"/>
      <c r="PT43" s="334"/>
      <c r="PU43" s="334"/>
      <c r="PV43" s="334"/>
      <c r="PW43" s="334"/>
      <c r="PX43" s="334"/>
      <c r="PY43" s="334"/>
      <c r="PZ43" s="334"/>
      <c r="QA43" s="334"/>
      <c r="QB43" s="334"/>
      <c r="QC43" s="334"/>
      <c r="QD43" s="334"/>
      <c r="QE43" s="334"/>
      <c r="QF43" s="334"/>
      <c r="QG43" s="334"/>
      <c r="QH43" s="334"/>
      <c r="QI43" s="334"/>
      <c r="QJ43" s="334"/>
      <c r="QK43" s="334"/>
      <c r="QL43" s="334"/>
      <c r="QM43" s="334"/>
      <c r="QN43" s="334"/>
      <c r="QO43" s="334"/>
      <c r="QP43" s="334"/>
      <c r="QQ43" s="334"/>
      <c r="QR43" s="334"/>
      <c r="QS43" s="334"/>
      <c r="QT43" s="334"/>
      <c r="QU43" s="334"/>
      <c r="QV43" s="334"/>
      <c r="QW43" s="334"/>
      <c r="QX43" s="334"/>
      <c r="QY43" s="334"/>
      <c r="QZ43" s="334"/>
      <c r="RA43" s="334"/>
      <c r="RB43" s="334"/>
      <c r="RC43" s="334"/>
      <c r="RD43" s="334"/>
      <c r="RE43" s="334"/>
      <c r="RF43" s="334"/>
      <c r="RG43" s="334"/>
      <c r="RH43" s="334"/>
      <c r="RI43" s="334"/>
      <c r="RJ43" s="334"/>
      <c r="RK43" s="334"/>
      <c r="RL43" s="334"/>
      <c r="RM43" s="334"/>
      <c r="RN43" s="334"/>
      <c r="RO43" s="334"/>
      <c r="RP43" s="334"/>
      <c r="RQ43" s="334"/>
      <c r="RR43" s="334"/>
      <c r="RS43" s="334"/>
      <c r="RT43" s="334"/>
      <c r="RU43" s="334"/>
      <c r="RV43" s="334"/>
      <c r="RW43" s="334"/>
      <c r="RX43" s="334"/>
      <c r="RY43" s="334"/>
      <c r="RZ43" s="334"/>
      <c r="SA43" s="334"/>
      <c r="SB43" s="334"/>
      <c r="SC43" s="334"/>
      <c r="SD43" s="334"/>
      <c r="SE43" s="334"/>
      <c r="SF43" s="334"/>
      <c r="SG43" s="334"/>
      <c r="SH43" s="334"/>
      <c r="SI43" s="334"/>
      <c r="SJ43" s="334"/>
      <c r="SK43" s="334"/>
      <c r="SL43" s="334"/>
      <c r="SM43" s="334"/>
      <c r="SN43" s="334"/>
      <c r="SO43" s="334"/>
      <c r="SP43" s="334"/>
      <c r="SQ43" s="334"/>
      <c r="SR43" s="334"/>
      <c r="SS43" s="334"/>
      <c r="ST43" s="334"/>
      <c r="SU43" s="334"/>
      <c r="SV43" s="334"/>
      <c r="SW43" s="334"/>
      <c r="SX43" s="334"/>
      <c r="SY43" s="334"/>
      <c r="SZ43" s="334"/>
      <c r="TA43" s="334"/>
      <c r="TB43" s="334"/>
      <c r="TC43" s="334"/>
      <c r="TD43" s="334"/>
      <c r="TE43" s="334"/>
      <c r="TF43" s="334"/>
      <c r="TG43" s="334"/>
      <c r="TH43" s="334"/>
      <c r="TI43" s="334"/>
      <c r="TJ43" s="334"/>
      <c r="TK43" s="334"/>
      <c r="TL43" s="334"/>
      <c r="TM43" s="334"/>
      <c r="TN43" s="334"/>
      <c r="TO43" s="334"/>
      <c r="TP43" s="334"/>
      <c r="TQ43" s="334"/>
      <c r="TR43" s="334"/>
      <c r="TS43" s="334"/>
      <c r="TT43" s="334"/>
      <c r="TU43" s="334"/>
      <c r="TV43" s="334"/>
      <c r="TW43" s="334"/>
      <c r="TX43" s="334"/>
      <c r="TY43" s="334"/>
      <c r="TZ43" s="334"/>
      <c r="UA43" s="334"/>
      <c r="UB43" s="334"/>
      <c r="UC43" s="334"/>
      <c r="UD43" s="334"/>
      <c r="UE43" s="334"/>
      <c r="UF43" s="334"/>
      <c r="UG43" s="334"/>
      <c r="UH43" s="334"/>
      <c r="UI43" s="334"/>
      <c r="UJ43" s="334"/>
      <c r="UK43" s="334"/>
      <c r="UL43" s="334"/>
      <c r="UM43" s="334"/>
      <c r="UN43" s="334"/>
      <c r="UO43" s="334"/>
      <c r="UP43" s="334"/>
      <c r="UQ43" s="334"/>
      <c r="UR43" s="334"/>
      <c r="US43" s="334"/>
      <c r="UT43" s="334"/>
      <c r="UU43" s="334"/>
      <c r="UV43" s="334"/>
      <c r="UW43" s="334"/>
      <c r="UX43" s="334"/>
      <c r="UY43" s="334"/>
      <c r="UZ43" s="334"/>
      <c r="VA43" s="334"/>
      <c r="VB43" s="334"/>
      <c r="VC43" s="334"/>
      <c r="VD43" s="334"/>
      <c r="VE43" s="334"/>
      <c r="VF43" s="334"/>
      <c r="VG43" s="334"/>
      <c r="VH43" s="334"/>
      <c r="VI43" s="334"/>
      <c r="VJ43" s="334"/>
      <c r="VK43" s="334"/>
      <c r="VL43" s="334"/>
      <c r="VM43" s="334"/>
      <c r="VN43" s="334"/>
      <c r="VO43" s="334"/>
      <c r="VP43" s="334"/>
      <c r="VQ43" s="334"/>
      <c r="VR43" s="334"/>
      <c r="VS43" s="334"/>
      <c r="VT43" s="334"/>
      <c r="VU43" s="334"/>
      <c r="VV43" s="334"/>
      <c r="VW43" s="334"/>
      <c r="VX43" s="334"/>
      <c r="VY43" s="334"/>
      <c r="VZ43" s="334"/>
      <c r="WA43" s="334"/>
      <c r="WB43" s="334"/>
      <c r="WC43" s="334"/>
      <c r="WD43" s="334"/>
      <c r="WE43" s="334"/>
      <c r="WF43" s="334"/>
      <c r="WG43" s="334"/>
      <c r="WH43" s="334"/>
      <c r="WI43" s="334"/>
      <c r="WJ43" s="334"/>
      <c r="WK43" s="334"/>
      <c r="WL43" s="334"/>
      <c r="WM43" s="334"/>
      <c r="WN43" s="334"/>
      <c r="WO43" s="334"/>
      <c r="WP43" s="334"/>
      <c r="WQ43" s="334"/>
      <c r="WR43" s="334"/>
      <c r="WS43" s="334"/>
      <c r="WT43" s="334"/>
      <c r="WU43" s="334"/>
      <c r="WV43" s="334"/>
      <c r="WW43" s="334"/>
      <c r="WX43" s="334"/>
      <c r="WY43" s="334"/>
      <c r="WZ43" s="334"/>
      <c r="XA43" s="334"/>
      <c r="XB43" s="334"/>
      <c r="XC43" s="334"/>
      <c r="XD43" s="334"/>
      <c r="XE43" s="334"/>
      <c r="XF43" s="334"/>
      <c r="XG43" s="334"/>
      <c r="XH43" s="334"/>
      <c r="XI43" s="334"/>
      <c r="XJ43" s="334"/>
      <c r="XK43" s="334"/>
      <c r="XL43" s="334"/>
      <c r="XM43" s="334"/>
      <c r="XN43" s="334"/>
      <c r="XO43" s="334"/>
      <c r="XP43" s="334"/>
      <c r="XQ43" s="334"/>
      <c r="XR43" s="334"/>
      <c r="XS43" s="334"/>
      <c r="XT43" s="334"/>
      <c r="XU43" s="334"/>
      <c r="XV43" s="334"/>
      <c r="XW43" s="334"/>
      <c r="XX43" s="334"/>
      <c r="XY43" s="334"/>
      <c r="XZ43" s="334"/>
      <c r="YA43" s="334"/>
      <c r="YB43" s="334"/>
      <c r="YC43" s="334"/>
      <c r="YD43" s="334"/>
      <c r="YE43" s="334"/>
      <c r="YF43" s="334"/>
      <c r="YG43" s="334"/>
      <c r="YH43" s="334"/>
      <c r="YI43" s="334"/>
      <c r="YJ43" s="334"/>
      <c r="YK43" s="334"/>
      <c r="YL43" s="334"/>
      <c r="YM43" s="334"/>
      <c r="YN43" s="334"/>
      <c r="YO43" s="334"/>
      <c r="YP43" s="334"/>
      <c r="YQ43" s="334"/>
      <c r="YR43" s="334"/>
      <c r="YS43" s="334"/>
      <c r="YT43" s="334"/>
      <c r="YU43" s="334"/>
      <c r="YV43" s="334"/>
      <c r="YW43" s="334"/>
      <c r="YX43" s="334"/>
      <c r="YY43" s="334"/>
      <c r="YZ43" s="334"/>
      <c r="ZA43" s="334"/>
      <c r="ZB43" s="334"/>
      <c r="ZC43" s="334"/>
      <c r="ZD43" s="334"/>
      <c r="ZE43" s="334"/>
      <c r="ZF43" s="334"/>
      <c r="ZG43" s="334"/>
      <c r="ZH43" s="334"/>
      <c r="ZI43" s="334"/>
      <c r="ZJ43" s="334"/>
      <c r="ZK43" s="334"/>
      <c r="ZL43" s="334"/>
      <c r="ZM43" s="334"/>
      <c r="ZN43" s="334"/>
      <c r="ZO43" s="334"/>
      <c r="ZP43" s="334"/>
      <c r="ZQ43" s="334"/>
      <c r="ZR43" s="334"/>
      <c r="ZS43" s="334"/>
      <c r="ZT43" s="334"/>
      <c r="ZU43" s="334"/>
      <c r="ZV43" s="334"/>
      <c r="ZW43" s="334"/>
      <c r="ZX43" s="334"/>
      <c r="ZY43" s="334"/>
      <c r="ZZ43" s="334"/>
      <c r="AAA43" s="334"/>
      <c r="AAB43" s="334"/>
      <c r="AAC43" s="334"/>
      <c r="AAD43" s="334"/>
      <c r="AAE43" s="334"/>
      <c r="AAF43" s="334"/>
      <c r="AAG43" s="334"/>
      <c r="AAH43" s="334"/>
      <c r="AAI43" s="334"/>
      <c r="AAJ43" s="334"/>
      <c r="AAK43" s="334"/>
      <c r="AAL43" s="334"/>
      <c r="AAM43" s="334"/>
      <c r="AAN43" s="334"/>
      <c r="AAO43" s="334"/>
      <c r="AAP43" s="334"/>
      <c r="AAQ43" s="334"/>
      <c r="AAR43" s="334"/>
      <c r="AAS43" s="334"/>
      <c r="AAT43" s="334"/>
      <c r="AAU43" s="334"/>
      <c r="AAV43" s="334"/>
      <c r="AAW43" s="334"/>
      <c r="AAX43" s="334"/>
      <c r="AAY43" s="334"/>
      <c r="AAZ43" s="334"/>
      <c r="ABA43" s="334"/>
      <c r="ABB43" s="334"/>
      <c r="ABC43" s="334"/>
      <c r="ABD43" s="334"/>
      <c r="ABE43" s="334"/>
      <c r="ABF43" s="334"/>
      <c r="ABG43" s="334"/>
      <c r="ABH43" s="334"/>
      <c r="ABI43" s="334"/>
      <c r="ABJ43" s="334"/>
      <c r="ABK43" s="334"/>
      <c r="ABL43" s="334"/>
      <c r="ABM43" s="334"/>
      <c r="ABN43" s="334"/>
      <c r="ABO43" s="334"/>
      <c r="ABP43" s="334"/>
      <c r="ABQ43" s="334"/>
      <c r="ABR43" s="334"/>
      <c r="ABS43" s="334"/>
      <c r="ABT43" s="334"/>
      <c r="ABU43" s="334"/>
      <c r="ABV43" s="334"/>
      <c r="ABW43" s="334"/>
      <c r="ABX43" s="334"/>
      <c r="ABY43" s="334"/>
      <c r="ABZ43" s="334"/>
      <c r="ACA43" s="334"/>
      <c r="ACB43" s="334"/>
      <c r="ACC43" s="334"/>
      <c r="ACD43" s="334"/>
      <c r="ACE43" s="334"/>
      <c r="ACF43" s="334"/>
      <c r="ACG43" s="334"/>
      <c r="ACH43" s="334"/>
      <c r="ACI43" s="334"/>
      <c r="ACJ43" s="334"/>
      <c r="ACK43" s="334"/>
      <c r="ACL43" s="334"/>
      <c r="ACM43" s="334"/>
      <c r="ACN43" s="334"/>
      <c r="ACO43" s="334"/>
      <c r="ACP43" s="334"/>
      <c r="ACQ43" s="334"/>
      <c r="ACR43" s="334"/>
      <c r="ACS43" s="334"/>
      <c r="ACT43" s="334"/>
      <c r="ACU43" s="334"/>
      <c r="ACV43" s="334"/>
      <c r="ACW43" s="334"/>
      <c r="ACX43" s="334"/>
      <c r="ACY43" s="334"/>
      <c r="ACZ43" s="334"/>
      <c r="ADA43" s="334"/>
      <c r="ADB43" s="334"/>
      <c r="ADC43" s="334"/>
      <c r="ADD43" s="334"/>
      <c r="ADE43" s="334"/>
      <c r="ADF43" s="334"/>
      <c r="ADG43" s="334"/>
      <c r="ADH43" s="334"/>
      <c r="ADI43" s="334"/>
      <c r="ADJ43" s="334"/>
      <c r="ADK43" s="334"/>
      <c r="ADL43" s="334"/>
      <c r="ADM43" s="334"/>
      <c r="ADN43" s="334"/>
      <c r="ADO43" s="334"/>
      <c r="ADP43" s="334"/>
      <c r="ADQ43" s="334"/>
      <c r="ADR43" s="334"/>
      <c r="ADS43" s="334"/>
      <c r="ADT43" s="334"/>
      <c r="ADU43" s="334"/>
      <c r="ADV43" s="334"/>
      <c r="ADW43" s="334"/>
      <c r="ADX43" s="334"/>
      <c r="ADY43" s="334"/>
      <c r="ADZ43" s="334"/>
      <c r="AEA43" s="334"/>
      <c r="AEB43" s="334"/>
      <c r="AEC43" s="334"/>
      <c r="AED43" s="334"/>
      <c r="AEE43" s="334"/>
      <c r="AEF43" s="334"/>
      <c r="AEG43" s="334"/>
      <c r="AEH43" s="334"/>
      <c r="AEI43" s="334"/>
      <c r="AEJ43" s="334"/>
      <c r="AEK43" s="334"/>
      <c r="AEL43" s="334"/>
      <c r="AEM43" s="334"/>
      <c r="AEN43" s="334"/>
      <c r="AEO43" s="334"/>
      <c r="AEP43" s="334"/>
      <c r="AEQ43" s="334"/>
      <c r="AER43" s="334"/>
      <c r="AES43" s="334"/>
      <c r="AET43" s="334"/>
      <c r="AEU43" s="334"/>
      <c r="AEV43" s="334"/>
      <c r="AEW43" s="334"/>
      <c r="AEX43" s="334"/>
      <c r="AEY43" s="334"/>
      <c r="AEZ43" s="334"/>
      <c r="AFA43" s="334"/>
      <c r="AFB43" s="334"/>
      <c r="AFC43" s="334"/>
      <c r="AFD43" s="334"/>
      <c r="AFE43" s="334"/>
      <c r="AFF43" s="334"/>
      <c r="AFG43" s="334"/>
      <c r="AFH43" s="334"/>
      <c r="AFI43" s="334"/>
      <c r="AFJ43" s="334"/>
      <c r="AFK43" s="334"/>
      <c r="AFL43" s="334"/>
      <c r="AFM43" s="334"/>
      <c r="AFN43" s="334"/>
      <c r="AFO43" s="334"/>
      <c r="AFP43" s="334"/>
      <c r="AFQ43" s="334"/>
      <c r="AFR43" s="334"/>
      <c r="AFS43" s="334"/>
      <c r="AFT43" s="334"/>
      <c r="AFU43" s="334"/>
      <c r="AFV43" s="334"/>
      <c r="AFW43" s="334"/>
      <c r="AFX43" s="334"/>
      <c r="AFY43" s="334"/>
      <c r="AFZ43" s="334"/>
      <c r="AGA43" s="334"/>
      <c r="AGB43" s="334"/>
      <c r="AGC43" s="334"/>
      <c r="AGD43" s="334"/>
      <c r="AGE43" s="334"/>
      <c r="AGF43" s="334"/>
      <c r="AGG43" s="334"/>
      <c r="AGH43" s="334"/>
      <c r="AGI43" s="334"/>
      <c r="AGJ43" s="334"/>
      <c r="AGK43" s="334"/>
      <c r="AGL43" s="334"/>
      <c r="AGM43" s="334"/>
      <c r="AGN43" s="334"/>
      <c r="AGO43" s="334"/>
      <c r="AGP43" s="334"/>
      <c r="AGQ43" s="334"/>
      <c r="AGR43" s="334"/>
      <c r="AGS43" s="334"/>
      <c r="AGT43" s="334"/>
      <c r="AGU43" s="334"/>
      <c r="AGV43" s="334"/>
      <c r="AGW43" s="334"/>
      <c r="AGX43" s="334"/>
      <c r="AGY43" s="334"/>
      <c r="AGZ43" s="334"/>
      <c r="AHA43" s="334"/>
      <c r="AHB43" s="334"/>
      <c r="AHC43" s="334"/>
      <c r="AHD43" s="334"/>
      <c r="AHE43" s="334"/>
      <c r="AHF43" s="334"/>
      <c r="AHG43" s="334"/>
      <c r="AHH43" s="334"/>
      <c r="AHI43" s="334"/>
      <c r="AHJ43" s="334"/>
      <c r="AHK43" s="334"/>
      <c r="AHL43" s="334"/>
      <c r="AHM43" s="334"/>
      <c r="AHN43" s="334"/>
      <c r="AHO43" s="334"/>
      <c r="AHP43" s="334"/>
      <c r="AHQ43" s="334"/>
      <c r="AHR43" s="334"/>
      <c r="AHS43" s="334"/>
      <c r="AHT43" s="334"/>
      <c r="AHU43" s="334"/>
      <c r="AHV43" s="334"/>
      <c r="AHW43" s="334"/>
      <c r="AHX43" s="334"/>
      <c r="AHY43" s="334"/>
      <c r="AHZ43" s="334"/>
      <c r="AIA43" s="334"/>
      <c r="AIB43" s="334"/>
      <c r="AIC43" s="334"/>
      <c r="AID43" s="334"/>
      <c r="AIE43" s="334"/>
      <c r="AIF43" s="334"/>
      <c r="AIG43" s="334"/>
      <c r="AIH43" s="334"/>
      <c r="AII43" s="334"/>
      <c r="AIJ43" s="334"/>
      <c r="AIK43" s="334"/>
      <c r="AIL43" s="334"/>
      <c r="AIM43" s="334"/>
      <c r="AIN43" s="334"/>
      <c r="AIO43" s="334"/>
      <c r="AIP43" s="334"/>
      <c r="AIQ43" s="334"/>
      <c r="AIR43" s="334"/>
      <c r="AIS43" s="334"/>
      <c r="AIT43" s="334"/>
      <c r="AIU43" s="334"/>
      <c r="AIV43" s="334"/>
      <c r="AIW43" s="334"/>
      <c r="AIX43" s="334"/>
      <c r="AIY43" s="334"/>
      <c r="AIZ43" s="334"/>
      <c r="AJA43" s="334"/>
      <c r="AJB43" s="334"/>
      <c r="AJC43" s="334"/>
      <c r="AJD43" s="334"/>
      <c r="AJE43" s="334"/>
      <c r="AJF43" s="334"/>
      <c r="AJG43" s="334"/>
      <c r="AJH43" s="334"/>
      <c r="AJI43" s="334"/>
      <c r="AJJ43" s="334"/>
      <c r="AJK43" s="334"/>
      <c r="AJL43" s="334"/>
      <c r="AJM43" s="334"/>
      <c r="AJN43" s="334"/>
      <c r="AJO43" s="334"/>
      <c r="AJP43" s="334"/>
      <c r="AJQ43" s="334"/>
      <c r="AJR43" s="334"/>
      <c r="AJS43" s="334"/>
      <c r="AJT43" s="334"/>
      <c r="AJU43" s="334"/>
      <c r="AJV43" s="334"/>
      <c r="AJW43" s="334"/>
      <c r="AJX43" s="334"/>
      <c r="AJY43" s="334"/>
      <c r="AJZ43" s="334"/>
      <c r="AKA43" s="334"/>
      <c r="AKB43" s="334"/>
      <c r="AKC43" s="334"/>
      <c r="AKD43" s="334"/>
      <c r="AKE43" s="334"/>
      <c r="AKF43" s="334"/>
      <c r="AKG43" s="334"/>
      <c r="AKH43" s="334"/>
      <c r="AKI43" s="334"/>
      <c r="AKJ43" s="334"/>
      <c r="AKK43" s="334"/>
      <c r="AKL43" s="334"/>
      <c r="AKM43" s="334"/>
      <c r="AKN43" s="334"/>
      <c r="AKO43" s="334"/>
      <c r="AKP43" s="334"/>
      <c r="AKQ43" s="334"/>
      <c r="AKR43" s="334"/>
      <c r="AKS43" s="334"/>
      <c r="AKT43" s="334"/>
      <c r="AKU43" s="334"/>
      <c r="AKV43" s="334"/>
      <c r="AKW43" s="334"/>
      <c r="AKX43" s="334"/>
      <c r="AKY43" s="334"/>
      <c r="AKZ43" s="334"/>
      <c r="ALA43" s="334"/>
      <c r="ALB43" s="334"/>
      <c r="ALC43" s="334"/>
      <c r="ALD43" s="334"/>
      <c r="ALE43" s="334"/>
      <c r="ALF43" s="334"/>
      <c r="ALG43" s="334"/>
      <c r="ALH43" s="334"/>
      <c r="ALI43" s="334"/>
      <c r="ALJ43" s="334"/>
      <c r="ALK43" s="334"/>
      <c r="ALL43" s="334"/>
      <c r="ALM43" s="334"/>
      <c r="ALN43" s="334"/>
      <c r="ALO43" s="334"/>
      <c r="ALP43" s="334"/>
      <c r="ALQ43" s="334"/>
      <c r="ALR43" s="334"/>
      <c r="ALS43" s="334"/>
      <c r="ALT43" s="334"/>
      <c r="ALU43" s="334"/>
      <c r="ALV43" s="334"/>
      <c r="ALW43" s="334"/>
      <c r="ALX43" s="334"/>
      <c r="ALY43" s="334"/>
      <c r="ALZ43" s="334"/>
      <c r="AMA43" s="334"/>
      <c r="AMB43" s="334"/>
      <c r="AMC43" s="334"/>
      <c r="AMD43" s="334"/>
      <c r="AME43" s="334"/>
      <c r="AMF43" s="334"/>
      <c r="AMG43" s="334"/>
      <c r="AMH43" s="334"/>
      <c r="AMI43" s="334"/>
      <c r="AMJ43" s="334"/>
      <c r="AMK43" s="334"/>
      <c r="AML43" s="334"/>
      <c r="AMM43" s="334"/>
      <c r="AMN43" s="334"/>
      <c r="AMO43" s="334"/>
      <c r="AMP43" s="334"/>
      <c r="AMQ43" s="334"/>
      <c r="AMR43" s="334"/>
      <c r="AMS43" s="334"/>
      <c r="AMT43" s="334"/>
      <c r="AMU43" s="334"/>
      <c r="AMV43" s="334"/>
      <c r="AMW43" s="334"/>
      <c r="AMX43" s="334"/>
      <c r="AMY43" s="334"/>
      <c r="AMZ43" s="334"/>
    </row>
    <row r="44" spans="1:1040" s="333" customFormat="1" ht="13.5" customHeight="1" x14ac:dyDescent="0.25">
      <c r="A44" s="334"/>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5"/>
      <c r="AA44" s="335"/>
      <c r="AB44" s="335"/>
      <c r="AW44" s="334"/>
      <c r="AX44" s="334"/>
      <c r="AY44" s="334"/>
      <c r="AZ44" s="334"/>
      <c r="BA44" s="334"/>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c r="EP44" s="334"/>
      <c r="EQ44" s="334"/>
      <c r="ER44" s="334"/>
      <c r="ES44" s="334"/>
      <c r="ET44" s="334"/>
      <c r="EU44" s="334"/>
      <c r="EV44" s="334"/>
      <c r="EW44" s="334"/>
      <c r="EX44" s="334"/>
      <c r="EY44" s="334"/>
      <c r="EZ44" s="334"/>
      <c r="FA44" s="334"/>
      <c r="FB44" s="334"/>
      <c r="FC44" s="334"/>
      <c r="FD44" s="334"/>
      <c r="FE44" s="334"/>
      <c r="FF44" s="334"/>
      <c r="FG44" s="334"/>
      <c r="FH44" s="334"/>
      <c r="FI44" s="334"/>
      <c r="FJ44" s="334"/>
      <c r="FK44" s="334"/>
      <c r="FL44" s="334"/>
      <c r="FM44" s="334"/>
      <c r="FN44" s="334"/>
      <c r="FO44" s="334"/>
      <c r="FP44" s="334"/>
      <c r="FQ44" s="334"/>
      <c r="FR44" s="334"/>
      <c r="FS44" s="334"/>
      <c r="FT44" s="334"/>
      <c r="FU44" s="334"/>
      <c r="FV44" s="334"/>
      <c r="FW44" s="334"/>
      <c r="FX44" s="334"/>
      <c r="FY44" s="334"/>
      <c r="FZ44" s="334"/>
      <c r="GA44" s="334"/>
      <c r="GB44" s="334"/>
      <c r="GC44" s="334"/>
      <c r="GD44" s="334"/>
      <c r="GE44" s="334"/>
      <c r="GF44" s="334"/>
      <c r="GG44" s="334"/>
      <c r="GH44" s="334"/>
      <c r="GI44" s="334"/>
      <c r="GJ44" s="334"/>
      <c r="GK44" s="334"/>
      <c r="GL44" s="334"/>
      <c r="GM44" s="334"/>
      <c r="GN44" s="334"/>
      <c r="GO44" s="334"/>
      <c r="GP44" s="334"/>
      <c r="GQ44" s="334"/>
      <c r="GR44" s="334"/>
      <c r="GS44" s="334"/>
      <c r="GT44" s="334"/>
      <c r="GU44" s="334"/>
      <c r="GV44" s="334"/>
      <c r="GW44" s="334"/>
      <c r="GX44" s="334"/>
      <c r="GY44" s="334"/>
      <c r="GZ44" s="334"/>
      <c r="HA44" s="334"/>
      <c r="HB44" s="334"/>
      <c r="HC44" s="334"/>
      <c r="HD44" s="334"/>
      <c r="HE44" s="334"/>
      <c r="HF44" s="334"/>
      <c r="HG44" s="334"/>
      <c r="HH44" s="334"/>
      <c r="HI44" s="334"/>
      <c r="HJ44" s="334"/>
      <c r="HK44" s="334"/>
      <c r="HL44" s="334"/>
      <c r="HM44" s="334"/>
      <c r="HN44" s="334"/>
      <c r="HO44" s="334"/>
      <c r="HP44" s="334"/>
      <c r="HQ44" s="334"/>
      <c r="HR44" s="334"/>
      <c r="HS44" s="334"/>
      <c r="HT44" s="334"/>
      <c r="HU44" s="334"/>
      <c r="HV44" s="334"/>
      <c r="HW44" s="334"/>
      <c r="HX44" s="334"/>
      <c r="HY44" s="334"/>
      <c r="HZ44" s="334"/>
      <c r="IA44" s="334"/>
      <c r="IB44" s="334"/>
      <c r="IC44" s="334"/>
      <c r="ID44" s="334"/>
      <c r="IE44" s="334"/>
      <c r="IF44" s="334"/>
      <c r="IG44" s="334"/>
      <c r="IH44" s="334"/>
      <c r="II44" s="334"/>
      <c r="IJ44" s="334"/>
      <c r="IK44" s="334"/>
      <c r="IL44" s="334"/>
      <c r="IM44" s="334"/>
      <c r="IN44" s="334"/>
      <c r="IO44" s="334"/>
      <c r="IP44" s="334"/>
      <c r="IQ44" s="334"/>
      <c r="IR44" s="334"/>
      <c r="IS44" s="334"/>
      <c r="IT44" s="334"/>
      <c r="IU44" s="334"/>
      <c r="IV44" s="334"/>
      <c r="IW44" s="334"/>
      <c r="IX44" s="334"/>
      <c r="IY44" s="334"/>
      <c r="IZ44" s="334"/>
      <c r="JA44" s="334"/>
      <c r="JB44" s="334"/>
      <c r="JC44" s="334"/>
      <c r="JD44" s="334"/>
      <c r="JE44" s="334"/>
      <c r="JF44" s="334"/>
      <c r="JG44" s="334"/>
      <c r="JH44" s="334"/>
      <c r="JI44" s="334"/>
      <c r="JJ44" s="334"/>
      <c r="JK44" s="334"/>
      <c r="JL44" s="334"/>
      <c r="JM44" s="334"/>
      <c r="JN44" s="334"/>
      <c r="JO44" s="334"/>
      <c r="JP44" s="334"/>
      <c r="JQ44" s="334"/>
      <c r="JR44" s="334"/>
      <c r="JS44" s="334"/>
      <c r="JT44" s="334"/>
      <c r="JU44" s="334"/>
      <c r="JV44" s="334"/>
      <c r="JW44" s="334"/>
      <c r="JX44" s="334"/>
      <c r="JY44" s="334"/>
      <c r="JZ44" s="334"/>
      <c r="KA44" s="334"/>
      <c r="KB44" s="334"/>
      <c r="KC44" s="334"/>
      <c r="KD44" s="334"/>
      <c r="KE44" s="334"/>
      <c r="KF44" s="334"/>
      <c r="KG44" s="334"/>
      <c r="KH44" s="334"/>
      <c r="KI44" s="334"/>
      <c r="KJ44" s="334"/>
      <c r="KK44" s="334"/>
      <c r="KL44" s="334"/>
      <c r="KM44" s="334"/>
      <c r="KN44" s="334"/>
      <c r="KO44" s="334"/>
      <c r="KP44" s="334"/>
      <c r="KQ44" s="334"/>
      <c r="KR44" s="334"/>
      <c r="KS44" s="334"/>
      <c r="KT44" s="334"/>
      <c r="KU44" s="334"/>
      <c r="KV44" s="334"/>
      <c r="KW44" s="334"/>
      <c r="KX44" s="334"/>
      <c r="KY44" s="334"/>
      <c r="KZ44" s="334"/>
      <c r="LA44" s="334"/>
      <c r="LB44" s="334"/>
      <c r="LC44" s="334"/>
      <c r="LD44" s="334"/>
      <c r="LE44" s="334"/>
      <c r="LF44" s="334"/>
      <c r="LG44" s="334"/>
      <c r="LH44" s="334"/>
      <c r="LI44" s="334"/>
      <c r="LJ44" s="334"/>
      <c r="LK44" s="334"/>
      <c r="LL44" s="334"/>
      <c r="LM44" s="334"/>
      <c r="LN44" s="334"/>
      <c r="LO44" s="334"/>
      <c r="LP44" s="334"/>
      <c r="LQ44" s="334"/>
      <c r="LR44" s="334"/>
      <c r="LS44" s="334"/>
      <c r="LT44" s="334"/>
      <c r="LU44" s="334"/>
      <c r="LV44" s="334"/>
      <c r="LW44" s="334"/>
      <c r="LX44" s="334"/>
      <c r="LY44" s="334"/>
      <c r="LZ44" s="334"/>
      <c r="MA44" s="334"/>
      <c r="MB44" s="334"/>
      <c r="MC44" s="334"/>
      <c r="MD44" s="334"/>
      <c r="ME44" s="334"/>
      <c r="MF44" s="334"/>
      <c r="MG44" s="334"/>
      <c r="MH44" s="334"/>
      <c r="MI44" s="334"/>
      <c r="MJ44" s="334"/>
      <c r="MK44" s="334"/>
      <c r="ML44" s="334"/>
      <c r="MM44" s="334"/>
      <c r="MN44" s="334"/>
      <c r="MO44" s="334"/>
      <c r="MP44" s="334"/>
      <c r="MQ44" s="334"/>
      <c r="MR44" s="334"/>
      <c r="MS44" s="334"/>
      <c r="MT44" s="334"/>
      <c r="MU44" s="334"/>
      <c r="MV44" s="334"/>
      <c r="MW44" s="334"/>
      <c r="MX44" s="334"/>
      <c r="MY44" s="334"/>
      <c r="MZ44" s="334"/>
      <c r="NA44" s="334"/>
      <c r="NB44" s="334"/>
      <c r="NC44" s="334"/>
      <c r="ND44" s="334"/>
      <c r="NE44" s="334"/>
      <c r="NF44" s="334"/>
      <c r="NG44" s="334"/>
      <c r="NH44" s="334"/>
      <c r="NI44" s="334"/>
      <c r="NJ44" s="334"/>
      <c r="NK44" s="334"/>
      <c r="NL44" s="334"/>
      <c r="NM44" s="334"/>
      <c r="NN44" s="334"/>
      <c r="NO44" s="334"/>
      <c r="NP44" s="334"/>
      <c r="NQ44" s="334"/>
      <c r="NR44" s="334"/>
      <c r="NS44" s="334"/>
      <c r="NT44" s="334"/>
      <c r="NU44" s="334"/>
      <c r="NV44" s="334"/>
      <c r="NW44" s="334"/>
      <c r="NX44" s="334"/>
      <c r="NY44" s="334"/>
      <c r="NZ44" s="334"/>
      <c r="OA44" s="334"/>
      <c r="OB44" s="334"/>
      <c r="OC44" s="334"/>
      <c r="OD44" s="334"/>
      <c r="OE44" s="334"/>
      <c r="OF44" s="334"/>
      <c r="OG44" s="334"/>
      <c r="OH44" s="334"/>
      <c r="OI44" s="334"/>
      <c r="OJ44" s="334"/>
      <c r="OK44" s="334"/>
      <c r="OL44" s="334"/>
      <c r="OM44" s="334"/>
      <c r="ON44" s="334"/>
      <c r="OO44" s="334"/>
      <c r="OP44" s="334"/>
      <c r="OQ44" s="334"/>
      <c r="OR44" s="334"/>
      <c r="OS44" s="334"/>
      <c r="OT44" s="334"/>
      <c r="OU44" s="334"/>
      <c r="OV44" s="334"/>
      <c r="OW44" s="334"/>
      <c r="OX44" s="334"/>
      <c r="OY44" s="334"/>
      <c r="OZ44" s="334"/>
      <c r="PA44" s="334"/>
      <c r="PB44" s="334"/>
      <c r="PC44" s="334"/>
      <c r="PD44" s="334"/>
      <c r="PE44" s="334"/>
      <c r="PF44" s="334"/>
      <c r="PG44" s="334"/>
      <c r="PH44" s="334"/>
      <c r="PI44" s="334"/>
      <c r="PJ44" s="334"/>
      <c r="PK44" s="334"/>
      <c r="PL44" s="334"/>
      <c r="PM44" s="334"/>
      <c r="PN44" s="334"/>
      <c r="PO44" s="334"/>
      <c r="PP44" s="334"/>
      <c r="PQ44" s="334"/>
      <c r="PR44" s="334"/>
      <c r="PS44" s="334"/>
      <c r="PT44" s="334"/>
      <c r="PU44" s="334"/>
      <c r="PV44" s="334"/>
      <c r="PW44" s="334"/>
      <c r="PX44" s="334"/>
      <c r="PY44" s="334"/>
      <c r="PZ44" s="334"/>
      <c r="QA44" s="334"/>
      <c r="QB44" s="334"/>
      <c r="QC44" s="334"/>
      <c r="QD44" s="334"/>
      <c r="QE44" s="334"/>
      <c r="QF44" s="334"/>
      <c r="QG44" s="334"/>
      <c r="QH44" s="334"/>
      <c r="QI44" s="334"/>
      <c r="QJ44" s="334"/>
      <c r="QK44" s="334"/>
      <c r="QL44" s="334"/>
      <c r="QM44" s="334"/>
      <c r="QN44" s="334"/>
      <c r="QO44" s="334"/>
      <c r="QP44" s="334"/>
      <c r="QQ44" s="334"/>
      <c r="QR44" s="334"/>
      <c r="QS44" s="334"/>
      <c r="QT44" s="334"/>
      <c r="QU44" s="334"/>
      <c r="QV44" s="334"/>
      <c r="QW44" s="334"/>
      <c r="QX44" s="334"/>
      <c r="QY44" s="334"/>
      <c r="QZ44" s="334"/>
      <c r="RA44" s="334"/>
      <c r="RB44" s="334"/>
      <c r="RC44" s="334"/>
      <c r="RD44" s="334"/>
      <c r="RE44" s="334"/>
      <c r="RF44" s="334"/>
      <c r="RG44" s="334"/>
      <c r="RH44" s="334"/>
      <c r="RI44" s="334"/>
      <c r="RJ44" s="334"/>
      <c r="RK44" s="334"/>
      <c r="RL44" s="334"/>
      <c r="RM44" s="334"/>
      <c r="RN44" s="334"/>
      <c r="RO44" s="334"/>
      <c r="RP44" s="334"/>
      <c r="RQ44" s="334"/>
      <c r="RR44" s="334"/>
      <c r="RS44" s="334"/>
      <c r="RT44" s="334"/>
      <c r="RU44" s="334"/>
      <c r="RV44" s="334"/>
      <c r="RW44" s="334"/>
      <c r="RX44" s="334"/>
      <c r="RY44" s="334"/>
      <c r="RZ44" s="334"/>
      <c r="SA44" s="334"/>
      <c r="SB44" s="334"/>
      <c r="SC44" s="334"/>
      <c r="SD44" s="334"/>
      <c r="SE44" s="334"/>
      <c r="SF44" s="334"/>
      <c r="SG44" s="334"/>
      <c r="SH44" s="334"/>
      <c r="SI44" s="334"/>
      <c r="SJ44" s="334"/>
      <c r="SK44" s="334"/>
      <c r="SL44" s="334"/>
      <c r="SM44" s="334"/>
      <c r="SN44" s="334"/>
      <c r="SO44" s="334"/>
      <c r="SP44" s="334"/>
      <c r="SQ44" s="334"/>
      <c r="SR44" s="334"/>
      <c r="SS44" s="334"/>
      <c r="ST44" s="334"/>
      <c r="SU44" s="334"/>
      <c r="SV44" s="334"/>
      <c r="SW44" s="334"/>
      <c r="SX44" s="334"/>
      <c r="SY44" s="334"/>
      <c r="SZ44" s="334"/>
      <c r="TA44" s="334"/>
      <c r="TB44" s="334"/>
      <c r="TC44" s="334"/>
      <c r="TD44" s="334"/>
      <c r="TE44" s="334"/>
      <c r="TF44" s="334"/>
      <c r="TG44" s="334"/>
      <c r="TH44" s="334"/>
      <c r="TI44" s="334"/>
      <c r="TJ44" s="334"/>
      <c r="TK44" s="334"/>
      <c r="TL44" s="334"/>
      <c r="TM44" s="334"/>
      <c r="TN44" s="334"/>
      <c r="TO44" s="334"/>
      <c r="TP44" s="334"/>
      <c r="TQ44" s="334"/>
      <c r="TR44" s="334"/>
      <c r="TS44" s="334"/>
      <c r="TT44" s="334"/>
      <c r="TU44" s="334"/>
      <c r="TV44" s="334"/>
      <c r="TW44" s="334"/>
      <c r="TX44" s="334"/>
      <c r="TY44" s="334"/>
      <c r="TZ44" s="334"/>
      <c r="UA44" s="334"/>
      <c r="UB44" s="334"/>
      <c r="UC44" s="334"/>
      <c r="UD44" s="334"/>
      <c r="UE44" s="334"/>
      <c r="UF44" s="334"/>
      <c r="UG44" s="334"/>
      <c r="UH44" s="334"/>
      <c r="UI44" s="334"/>
      <c r="UJ44" s="334"/>
      <c r="UK44" s="334"/>
      <c r="UL44" s="334"/>
      <c r="UM44" s="334"/>
      <c r="UN44" s="334"/>
      <c r="UO44" s="334"/>
      <c r="UP44" s="334"/>
      <c r="UQ44" s="334"/>
      <c r="UR44" s="334"/>
      <c r="US44" s="334"/>
      <c r="UT44" s="334"/>
      <c r="UU44" s="334"/>
      <c r="UV44" s="334"/>
      <c r="UW44" s="334"/>
      <c r="UX44" s="334"/>
      <c r="UY44" s="334"/>
      <c r="UZ44" s="334"/>
      <c r="VA44" s="334"/>
      <c r="VB44" s="334"/>
      <c r="VC44" s="334"/>
      <c r="VD44" s="334"/>
      <c r="VE44" s="334"/>
      <c r="VF44" s="334"/>
      <c r="VG44" s="334"/>
      <c r="VH44" s="334"/>
      <c r="VI44" s="334"/>
      <c r="VJ44" s="334"/>
      <c r="VK44" s="334"/>
      <c r="VL44" s="334"/>
      <c r="VM44" s="334"/>
      <c r="VN44" s="334"/>
      <c r="VO44" s="334"/>
      <c r="VP44" s="334"/>
      <c r="VQ44" s="334"/>
      <c r="VR44" s="334"/>
      <c r="VS44" s="334"/>
      <c r="VT44" s="334"/>
      <c r="VU44" s="334"/>
      <c r="VV44" s="334"/>
      <c r="VW44" s="334"/>
      <c r="VX44" s="334"/>
      <c r="VY44" s="334"/>
      <c r="VZ44" s="334"/>
      <c r="WA44" s="334"/>
      <c r="WB44" s="334"/>
      <c r="WC44" s="334"/>
      <c r="WD44" s="334"/>
      <c r="WE44" s="334"/>
      <c r="WF44" s="334"/>
      <c r="WG44" s="334"/>
      <c r="WH44" s="334"/>
      <c r="WI44" s="334"/>
      <c r="WJ44" s="334"/>
      <c r="WK44" s="334"/>
      <c r="WL44" s="334"/>
      <c r="WM44" s="334"/>
      <c r="WN44" s="334"/>
      <c r="WO44" s="334"/>
      <c r="WP44" s="334"/>
      <c r="WQ44" s="334"/>
      <c r="WR44" s="334"/>
      <c r="WS44" s="334"/>
      <c r="WT44" s="334"/>
      <c r="WU44" s="334"/>
      <c r="WV44" s="334"/>
      <c r="WW44" s="334"/>
      <c r="WX44" s="334"/>
      <c r="WY44" s="334"/>
      <c r="WZ44" s="334"/>
      <c r="XA44" s="334"/>
      <c r="XB44" s="334"/>
      <c r="XC44" s="334"/>
      <c r="XD44" s="334"/>
      <c r="XE44" s="334"/>
      <c r="XF44" s="334"/>
      <c r="XG44" s="334"/>
      <c r="XH44" s="334"/>
      <c r="XI44" s="334"/>
      <c r="XJ44" s="334"/>
      <c r="XK44" s="334"/>
      <c r="XL44" s="334"/>
      <c r="XM44" s="334"/>
      <c r="XN44" s="334"/>
      <c r="XO44" s="334"/>
      <c r="XP44" s="334"/>
      <c r="XQ44" s="334"/>
      <c r="XR44" s="334"/>
      <c r="XS44" s="334"/>
      <c r="XT44" s="334"/>
      <c r="XU44" s="334"/>
      <c r="XV44" s="334"/>
      <c r="XW44" s="334"/>
      <c r="XX44" s="334"/>
      <c r="XY44" s="334"/>
      <c r="XZ44" s="334"/>
      <c r="YA44" s="334"/>
      <c r="YB44" s="334"/>
      <c r="YC44" s="334"/>
      <c r="YD44" s="334"/>
      <c r="YE44" s="334"/>
      <c r="YF44" s="334"/>
      <c r="YG44" s="334"/>
      <c r="YH44" s="334"/>
      <c r="YI44" s="334"/>
      <c r="YJ44" s="334"/>
      <c r="YK44" s="334"/>
      <c r="YL44" s="334"/>
      <c r="YM44" s="334"/>
      <c r="YN44" s="334"/>
      <c r="YO44" s="334"/>
      <c r="YP44" s="334"/>
      <c r="YQ44" s="334"/>
      <c r="YR44" s="334"/>
      <c r="YS44" s="334"/>
      <c r="YT44" s="334"/>
      <c r="YU44" s="334"/>
      <c r="YV44" s="334"/>
      <c r="YW44" s="334"/>
      <c r="YX44" s="334"/>
      <c r="YY44" s="334"/>
      <c r="YZ44" s="334"/>
      <c r="ZA44" s="334"/>
      <c r="ZB44" s="334"/>
      <c r="ZC44" s="334"/>
      <c r="ZD44" s="334"/>
      <c r="ZE44" s="334"/>
      <c r="ZF44" s="334"/>
      <c r="ZG44" s="334"/>
      <c r="ZH44" s="334"/>
      <c r="ZI44" s="334"/>
      <c r="ZJ44" s="334"/>
      <c r="ZK44" s="334"/>
      <c r="ZL44" s="334"/>
      <c r="ZM44" s="334"/>
      <c r="ZN44" s="334"/>
      <c r="ZO44" s="334"/>
      <c r="ZP44" s="334"/>
      <c r="ZQ44" s="334"/>
      <c r="ZR44" s="334"/>
      <c r="ZS44" s="334"/>
      <c r="ZT44" s="334"/>
      <c r="ZU44" s="334"/>
      <c r="ZV44" s="334"/>
      <c r="ZW44" s="334"/>
      <c r="ZX44" s="334"/>
      <c r="ZY44" s="334"/>
      <c r="ZZ44" s="334"/>
      <c r="AAA44" s="334"/>
      <c r="AAB44" s="334"/>
      <c r="AAC44" s="334"/>
      <c r="AAD44" s="334"/>
      <c r="AAE44" s="334"/>
      <c r="AAF44" s="334"/>
      <c r="AAG44" s="334"/>
      <c r="AAH44" s="334"/>
      <c r="AAI44" s="334"/>
      <c r="AAJ44" s="334"/>
      <c r="AAK44" s="334"/>
      <c r="AAL44" s="334"/>
      <c r="AAM44" s="334"/>
      <c r="AAN44" s="334"/>
      <c r="AAO44" s="334"/>
      <c r="AAP44" s="334"/>
      <c r="AAQ44" s="334"/>
      <c r="AAR44" s="334"/>
      <c r="AAS44" s="334"/>
      <c r="AAT44" s="334"/>
      <c r="AAU44" s="334"/>
      <c r="AAV44" s="334"/>
      <c r="AAW44" s="334"/>
      <c r="AAX44" s="334"/>
      <c r="AAY44" s="334"/>
      <c r="AAZ44" s="334"/>
      <c r="ABA44" s="334"/>
      <c r="ABB44" s="334"/>
      <c r="ABC44" s="334"/>
      <c r="ABD44" s="334"/>
      <c r="ABE44" s="334"/>
      <c r="ABF44" s="334"/>
      <c r="ABG44" s="334"/>
      <c r="ABH44" s="334"/>
      <c r="ABI44" s="334"/>
      <c r="ABJ44" s="334"/>
      <c r="ABK44" s="334"/>
      <c r="ABL44" s="334"/>
      <c r="ABM44" s="334"/>
      <c r="ABN44" s="334"/>
      <c r="ABO44" s="334"/>
      <c r="ABP44" s="334"/>
      <c r="ABQ44" s="334"/>
      <c r="ABR44" s="334"/>
      <c r="ABS44" s="334"/>
      <c r="ABT44" s="334"/>
      <c r="ABU44" s="334"/>
      <c r="ABV44" s="334"/>
      <c r="ABW44" s="334"/>
      <c r="ABX44" s="334"/>
      <c r="ABY44" s="334"/>
      <c r="ABZ44" s="334"/>
      <c r="ACA44" s="334"/>
      <c r="ACB44" s="334"/>
      <c r="ACC44" s="334"/>
      <c r="ACD44" s="334"/>
      <c r="ACE44" s="334"/>
      <c r="ACF44" s="334"/>
      <c r="ACG44" s="334"/>
      <c r="ACH44" s="334"/>
      <c r="ACI44" s="334"/>
      <c r="ACJ44" s="334"/>
      <c r="ACK44" s="334"/>
      <c r="ACL44" s="334"/>
      <c r="ACM44" s="334"/>
      <c r="ACN44" s="334"/>
      <c r="ACO44" s="334"/>
      <c r="ACP44" s="334"/>
      <c r="ACQ44" s="334"/>
      <c r="ACR44" s="334"/>
      <c r="ACS44" s="334"/>
      <c r="ACT44" s="334"/>
      <c r="ACU44" s="334"/>
      <c r="ACV44" s="334"/>
      <c r="ACW44" s="334"/>
      <c r="ACX44" s="334"/>
      <c r="ACY44" s="334"/>
      <c r="ACZ44" s="334"/>
      <c r="ADA44" s="334"/>
      <c r="ADB44" s="334"/>
      <c r="ADC44" s="334"/>
      <c r="ADD44" s="334"/>
      <c r="ADE44" s="334"/>
      <c r="ADF44" s="334"/>
      <c r="ADG44" s="334"/>
      <c r="ADH44" s="334"/>
      <c r="ADI44" s="334"/>
      <c r="ADJ44" s="334"/>
      <c r="ADK44" s="334"/>
      <c r="ADL44" s="334"/>
      <c r="ADM44" s="334"/>
      <c r="ADN44" s="334"/>
      <c r="ADO44" s="334"/>
      <c r="ADP44" s="334"/>
      <c r="ADQ44" s="334"/>
      <c r="ADR44" s="334"/>
      <c r="ADS44" s="334"/>
      <c r="ADT44" s="334"/>
      <c r="ADU44" s="334"/>
      <c r="ADV44" s="334"/>
      <c r="ADW44" s="334"/>
      <c r="ADX44" s="334"/>
      <c r="ADY44" s="334"/>
      <c r="ADZ44" s="334"/>
      <c r="AEA44" s="334"/>
      <c r="AEB44" s="334"/>
      <c r="AEC44" s="334"/>
      <c r="AED44" s="334"/>
      <c r="AEE44" s="334"/>
      <c r="AEF44" s="334"/>
      <c r="AEG44" s="334"/>
      <c r="AEH44" s="334"/>
      <c r="AEI44" s="334"/>
      <c r="AEJ44" s="334"/>
      <c r="AEK44" s="334"/>
      <c r="AEL44" s="334"/>
      <c r="AEM44" s="334"/>
      <c r="AEN44" s="334"/>
      <c r="AEO44" s="334"/>
      <c r="AEP44" s="334"/>
      <c r="AEQ44" s="334"/>
      <c r="AER44" s="334"/>
      <c r="AES44" s="334"/>
      <c r="AET44" s="334"/>
      <c r="AEU44" s="334"/>
      <c r="AEV44" s="334"/>
      <c r="AEW44" s="334"/>
      <c r="AEX44" s="334"/>
      <c r="AEY44" s="334"/>
      <c r="AEZ44" s="334"/>
      <c r="AFA44" s="334"/>
      <c r="AFB44" s="334"/>
      <c r="AFC44" s="334"/>
      <c r="AFD44" s="334"/>
      <c r="AFE44" s="334"/>
      <c r="AFF44" s="334"/>
      <c r="AFG44" s="334"/>
      <c r="AFH44" s="334"/>
      <c r="AFI44" s="334"/>
      <c r="AFJ44" s="334"/>
      <c r="AFK44" s="334"/>
      <c r="AFL44" s="334"/>
      <c r="AFM44" s="334"/>
      <c r="AFN44" s="334"/>
      <c r="AFO44" s="334"/>
      <c r="AFP44" s="334"/>
      <c r="AFQ44" s="334"/>
      <c r="AFR44" s="334"/>
      <c r="AFS44" s="334"/>
      <c r="AFT44" s="334"/>
      <c r="AFU44" s="334"/>
      <c r="AFV44" s="334"/>
      <c r="AFW44" s="334"/>
      <c r="AFX44" s="334"/>
      <c r="AFY44" s="334"/>
      <c r="AFZ44" s="334"/>
      <c r="AGA44" s="334"/>
      <c r="AGB44" s="334"/>
      <c r="AGC44" s="334"/>
      <c r="AGD44" s="334"/>
      <c r="AGE44" s="334"/>
      <c r="AGF44" s="334"/>
      <c r="AGG44" s="334"/>
      <c r="AGH44" s="334"/>
      <c r="AGI44" s="334"/>
      <c r="AGJ44" s="334"/>
      <c r="AGK44" s="334"/>
      <c r="AGL44" s="334"/>
      <c r="AGM44" s="334"/>
      <c r="AGN44" s="334"/>
      <c r="AGO44" s="334"/>
      <c r="AGP44" s="334"/>
      <c r="AGQ44" s="334"/>
      <c r="AGR44" s="334"/>
      <c r="AGS44" s="334"/>
      <c r="AGT44" s="334"/>
      <c r="AGU44" s="334"/>
      <c r="AGV44" s="334"/>
      <c r="AGW44" s="334"/>
      <c r="AGX44" s="334"/>
      <c r="AGY44" s="334"/>
      <c r="AGZ44" s="334"/>
      <c r="AHA44" s="334"/>
      <c r="AHB44" s="334"/>
      <c r="AHC44" s="334"/>
      <c r="AHD44" s="334"/>
      <c r="AHE44" s="334"/>
      <c r="AHF44" s="334"/>
      <c r="AHG44" s="334"/>
      <c r="AHH44" s="334"/>
      <c r="AHI44" s="334"/>
      <c r="AHJ44" s="334"/>
      <c r="AHK44" s="334"/>
      <c r="AHL44" s="334"/>
      <c r="AHM44" s="334"/>
      <c r="AHN44" s="334"/>
      <c r="AHO44" s="334"/>
      <c r="AHP44" s="334"/>
      <c r="AHQ44" s="334"/>
      <c r="AHR44" s="334"/>
      <c r="AHS44" s="334"/>
      <c r="AHT44" s="334"/>
      <c r="AHU44" s="334"/>
      <c r="AHV44" s="334"/>
      <c r="AHW44" s="334"/>
      <c r="AHX44" s="334"/>
      <c r="AHY44" s="334"/>
      <c r="AHZ44" s="334"/>
      <c r="AIA44" s="334"/>
      <c r="AIB44" s="334"/>
      <c r="AIC44" s="334"/>
      <c r="AID44" s="334"/>
      <c r="AIE44" s="334"/>
      <c r="AIF44" s="334"/>
      <c r="AIG44" s="334"/>
      <c r="AIH44" s="334"/>
      <c r="AII44" s="334"/>
      <c r="AIJ44" s="334"/>
      <c r="AIK44" s="334"/>
      <c r="AIL44" s="334"/>
      <c r="AIM44" s="334"/>
      <c r="AIN44" s="334"/>
      <c r="AIO44" s="334"/>
      <c r="AIP44" s="334"/>
      <c r="AIQ44" s="334"/>
      <c r="AIR44" s="334"/>
      <c r="AIS44" s="334"/>
      <c r="AIT44" s="334"/>
      <c r="AIU44" s="334"/>
      <c r="AIV44" s="334"/>
      <c r="AIW44" s="334"/>
      <c r="AIX44" s="334"/>
      <c r="AIY44" s="334"/>
      <c r="AIZ44" s="334"/>
      <c r="AJA44" s="334"/>
      <c r="AJB44" s="334"/>
      <c r="AJC44" s="334"/>
      <c r="AJD44" s="334"/>
      <c r="AJE44" s="334"/>
      <c r="AJF44" s="334"/>
      <c r="AJG44" s="334"/>
      <c r="AJH44" s="334"/>
      <c r="AJI44" s="334"/>
      <c r="AJJ44" s="334"/>
      <c r="AJK44" s="334"/>
      <c r="AJL44" s="334"/>
      <c r="AJM44" s="334"/>
      <c r="AJN44" s="334"/>
      <c r="AJO44" s="334"/>
      <c r="AJP44" s="334"/>
      <c r="AJQ44" s="334"/>
      <c r="AJR44" s="334"/>
      <c r="AJS44" s="334"/>
      <c r="AJT44" s="334"/>
      <c r="AJU44" s="334"/>
      <c r="AJV44" s="334"/>
      <c r="AJW44" s="334"/>
      <c r="AJX44" s="334"/>
      <c r="AJY44" s="334"/>
      <c r="AJZ44" s="334"/>
      <c r="AKA44" s="334"/>
      <c r="AKB44" s="334"/>
      <c r="AKC44" s="334"/>
      <c r="AKD44" s="334"/>
      <c r="AKE44" s="334"/>
      <c r="AKF44" s="334"/>
      <c r="AKG44" s="334"/>
      <c r="AKH44" s="334"/>
      <c r="AKI44" s="334"/>
      <c r="AKJ44" s="334"/>
      <c r="AKK44" s="334"/>
      <c r="AKL44" s="334"/>
      <c r="AKM44" s="334"/>
      <c r="AKN44" s="334"/>
      <c r="AKO44" s="334"/>
      <c r="AKP44" s="334"/>
      <c r="AKQ44" s="334"/>
      <c r="AKR44" s="334"/>
      <c r="AKS44" s="334"/>
      <c r="AKT44" s="334"/>
      <c r="AKU44" s="334"/>
      <c r="AKV44" s="334"/>
      <c r="AKW44" s="334"/>
      <c r="AKX44" s="334"/>
      <c r="AKY44" s="334"/>
      <c r="AKZ44" s="334"/>
      <c r="ALA44" s="334"/>
      <c r="ALB44" s="334"/>
      <c r="ALC44" s="334"/>
      <c r="ALD44" s="334"/>
      <c r="ALE44" s="334"/>
      <c r="ALF44" s="334"/>
      <c r="ALG44" s="334"/>
      <c r="ALH44" s="334"/>
      <c r="ALI44" s="334"/>
      <c r="ALJ44" s="334"/>
      <c r="ALK44" s="334"/>
      <c r="ALL44" s="334"/>
      <c r="ALM44" s="334"/>
      <c r="ALN44" s="334"/>
      <c r="ALO44" s="334"/>
      <c r="ALP44" s="334"/>
      <c r="ALQ44" s="334"/>
      <c r="ALR44" s="334"/>
      <c r="ALS44" s="334"/>
      <c r="ALT44" s="334"/>
      <c r="ALU44" s="334"/>
      <c r="ALV44" s="334"/>
      <c r="ALW44" s="334"/>
      <c r="ALX44" s="334"/>
      <c r="ALY44" s="334"/>
      <c r="ALZ44" s="334"/>
      <c r="AMA44" s="334"/>
      <c r="AMB44" s="334"/>
      <c r="AMC44" s="334"/>
      <c r="AMD44" s="334"/>
      <c r="AME44" s="334"/>
      <c r="AMF44" s="334"/>
      <c r="AMG44" s="334"/>
      <c r="AMH44" s="334"/>
      <c r="AMI44" s="334"/>
      <c r="AMJ44" s="334"/>
      <c r="AMK44" s="334"/>
      <c r="AML44" s="334"/>
      <c r="AMM44" s="334"/>
      <c r="AMN44" s="334"/>
      <c r="AMO44" s="334"/>
      <c r="AMP44" s="334"/>
      <c r="AMQ44" s="334"/>
      <c r="AMR44" s="334"/>
      <c r="AMS44" s="334"/>
      <c r="AMT44" s="334"/>
      <c r="AMU44" s="334"/>
      <c r="AMV44" s="334"/>
      <c r="AMW44" s="334"/>
      <c r="AMX44" s="334"/>
      <c r="AMY44" s="334"/>
      <c r="AMZ44" s="334"/>
    </row>
    <row r="45" spans="1:1040" s="333" customFormat="1" ht="13.2" x14ac:dyDescent="0.25">
      <c r="A45" s="334"/>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5"/>
      <c r="AA45" s="335"/>
      <c r="AB45" s="335"/>
      <c r="AW45" s="334"/>
      <c r="AX45" s="334"/>
      <c r="AY45" s="334"/>
      <c r="AZ45" s="334"/>
      <c r="BA45" s="334"/>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c r="DB45" s="334"/>
      <c r="DC45" s="334"/>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4"/>
      <c r="EI45" s="334"/>
      <c r="EJ45" s="334"/>
      <c r="EK45" s="334"/>
      <c r="EL45" s="334"/>
      <c r="EM45" s="334"/>
      <c r="EN45" s="334"/>
      <c r="EO45" s="334"/>
      <c r="EP45" s="334"/>
      <c r="EQ45" s="334"/>
      <c r="ER45" s="334"/>
      <c r="ES45" s="334"/>
      <c r="ET45" s="334"/>
      <c r="EU45" s="334"/>
      <c r="EV45" s="334"/>
      <c r="EW45" s="334"/>
      <c r="EX45" s="334"/>
      <c r="EY45" s="334"/>
      <c r="EZ45" s="334"/>
      <c r="FA45" s="334"/>
      <c r="FB45" s="334"/>
      <c r="FC45" s="334"/>
      <c r="FD45" s="334"/>
      <c r="FE45" s="334"/>
      <c r="FF45" s="334"/>
      <c r="FG45" s="334"/>
      <c r="FH45" s="334"/>
      <c r="FI45" s="334"/>
      <c r="FJ45" s="334"/>
      <c r="FK45" s="334"/>
      <c r="FL45" s="334"/>
      <c r="FM45" s="334"/>
      <c r="FN45" s="334"/>
      <c r="FO45" s="334"/>
      <c r="FP45" s="334"/>
      <c r="FQ45" s="334"/>
      <c r="FR45" s="334"/>
      <c r="FS45" s="334"/>
      <c r="FT45" s="334"/>
      <c r="FU45" s="334"/>
      <c r="FV45" s="334"/>
      <c r="FW45" s="334"/>
      <c r="FX45" s="334"/>
      <c r="FY45" s="334"/>
      <c r="FZ45" s="334"/>
      <c r="GA45" s="334"/>
      <c r="GB45" s="334"/>
      <c r="GC45" s="334"/>
      <c r="GD45" s="334"/>
      <c r="GE45" s="334"/>
      <c r="GF45" s="334"/>
      <c r="GG45" s="334"/>
      <c r="GH45" s="334"/>
      <c r="GI45" s="334"/>
      <c r="GJ45" s="334"/>
      <c r="GK45" s="334"/>
      <c r="GL45" s="334"/>
      <c r="GM45" s="334"/>
      <c r="GN45" s="334"/>
      <c r="GO45" s="334"/>
      <c r="GP45" s="334"/>
      <c r="GQ45" s="334"/>
      <c r="GR45" s="334"/>
      <c r="GS45" s="334"/>
      <c r="GT45" s="334"/>
      <c r="GU45" s="334"/>
      <c r="GV45" s="334"/>
      <c r="GW45" s="334"/>
      <c r="GX45" s="334"/>
      <c r="GY45" s="334"/>
      <c r="GZ45" s="334"/>
      <c r="HA45" s="334"/>
      <c r="HB45" s="334"/>
      <c r="HC45" s="334"/>
      <c r="HD45" s="334"/>
      <c r="HE45" s="334"/>
      <c r="HF45" s="334"/>
      <c r="HG45" s="334"/>
      <c r="HH45" s="334"/>
      <c r="HI45" s="334"/>
      <c r="HJ45" s="334"/>
      <c r="HK45" s="334"/>
      <c r="HL45" s="334"/>
      <c r="HM45" s="334"/>
      <c r="HN45" s="334"/>
      <c r="HO45" s="334"/>
      <c r="HP45" s="334"/>
      <c r="HQ45" s="334"/>
      <c r="HR45" s="334"/>
      <c r="HS45" s="334"/>
      <c r="HT45" s="334"/>
      <c r="HU45" s="334"/>
      <c r="HV45" s="334"/>
      <c r="HW45" s="334"/>
      <c r="HX45" s="334"/>
      <c r="HY45" s="334"/>
      <c r="HZ45" s="334"/>
      <c r="IA45" s="334"/>
      <c r="IB45" s="334"/>
      <c r="IC45" s="334"/>
      <c r="ID45" s="334"/>
      <c r="IE45" s="334"/>
      <c r="IF45" s="334"/>
      <c r="IG45" s="334"/>
      <c r="IH45" s="334"/>
      <c r="II45" s="334"/>
      <c r="IJ45" s="334"/>
      <c r="IK45" s="334"/>
      <c r="IL45" s="334"/>
      <c r="IM45" s="334"/>
      <c r="IN45" s="334"/>
      <c r="IO45" s="334"/>
      <c r="IP45" s="334"/>
      <c r="IQ45" s="334"/>
      <c r="IR45" s="334"/>
      <c r="IS45" s="334"/>
      <c r="IT45" s="334"/>
      <c r="IU45" s="334"/>
      <c r="IV45" s="334"/>
      <c r="IW45" s="334"/>
      <c r="IX45" s="334"/>
      <c r="IY45" s="334"/>
      <c r="IZ45" s="334"/>
      <c r="JA45" s="334"/>
      <c r="JB45" s="334"/>
      <c r="JC45" s="334"/>
      <c r="JD45" s="334"/>
      <c r="JE45" s="334"/>
      <c r="JF45" s="334"/>
      <c r="JG45" s="334"/>
      <c r="JH45" s="334"/>
      <c r="JI45" s="334"/>
      <c r="JJ45" s="334"/>
      <c r="JK45" s="334"/>
      <c r="JL45" s="334"/>
      <c r="JM45" s="334"/>
      <c r="JN45" s="334"/>
      <c r="JO45" s="334"/>
      <c r="JP45" s="334"/>
      <c r="JQ45" s="334"/>
      <c r="JR45" s="334"/>
      <c r="JS45" s="334"/>
      <c r="JT45" s="334"/>
      <c r="JU45" s="334"/>
      <c r="JV45" s="334"/>
      <c r="JW45" s="334"/>
      <c r="JX45" s="334"/>
      <c r="JY45" s="334"/>
      <c r="JZ45" s="334"/>
      <c r="KA45" s="334"/>
      <c r="KB45" s="334"/>
      <c r="KC45" s="334"/>
      <c r="KD45" s="334"/>
      <c r="KE45" s="334"/>
      <c r="KF45" s="334"/>
      <c r="KG45" s="334"/>
      <c r="KH45" s="334"/>
      <c r="KI45" s="334"/>
      <c r="KJ45" s="334"/>
      <c r="KK45" s="334"/>
      <c r="KL45" s="334"/>
      <c r="KM45" s="334"/>
      <c r="KN45" s="334"/>
      <c r="KO45" s="334"/>
      <c r="KP45" s="334"/>
      <c r="KQ45" s="334"/>
      <c r="KR45" s="334"/>
      <c r="KS45" s="334"/>
      <c r="KT45" s="334"/>
      <c r="KU45" s="334"/>
      <c r="KV45" s="334"/>
      <c r="KW45" s="334"/>
      <c r="KX45" s="334"/>
      <c r="KY45" s="334"/>
      <c r="KZ45" s="334"/>
      <c r="LA45" s="334"/>
      <c r="LB45" s="334"/>
      <c r="LC45" s="334"/>
      <c r="LD45" s="334"/>
      <c r="LE45" s="334"/>
      <c r="LF45" s="334"/>
      <c r="LG45" s="334"/>
      <c r="LH45" s="334"/>
      <c r="LI45" s="334"/>
      <c r="LJ45" s="334"/>
      <c r="LK45" s="334"/>
      <c r="LL45" s="334"/>
      <c r="LM45" s="334"/>
      <c r="LN45" s="334"/>
      <c r="LO45" s="334"/>
      <c r="LP45" s="334"/>
      <c r="LQ45" s="334"/>
      <c r="LR45" s="334"/>
      <c r="LS45" s="334"/>
      <c r="LT45" s="334"/>
      <c r="LU45" s="334"/>
      <c r="LV45" s="334"/>
      <c r="LW45" s="334"/>
      <c r="LX45" s="334"/>
      <c r="LY45" s="334"/>
      <c r="LZ45" s="334"/>
      <c r="MA45" s="334"/>
      <c r="MB45" s="334"/>
      <c r="MC45" s="334"/>
      <c r="MD45" s="334"/>
      <c r="ME45" s="334"/>
      <c r="MF45" s="334"/>
      <c r="MG45" s="334"/>
      <c r="MH45" s="334"/>
      <c r="MI45" s="334"/>
      <c r="MJ45" s="334"/>
      <c r="MK45" s="334"/>
      <c r="ML45" s="334"/>
      <c r="MM45" s="334"/>
      <c r="MN45" s="334"/>
      <c r="MO45" s="334"/>
      <c r="MP45" s="334"/>
      <c r="MQ45" s="334"/>
      <c r="MR45" s="334"/>
      <c r="MS45" s="334"/>
      <c r="MT45" s="334"/>
      <c r="MU45" s="334"/>
      <c r="MV45" s="334"/>
      <c r="MW45" s="334"/>
      <c r="MX45" s="334"/>
      <c r="MY45" s="334"/>
      <c r="MZ45" s="334"/>
      <c r="NA45" s="334"/>
      <c r="NB45" s="334"/>
      <c r="NC45" s="334"/>
      <c r="ND45" s="334"/>
      <c r="NE45" s="334"/>
      <c r="NF45" s="334"/>
      <c r="NG45" s="334"/>
      <c r="NH45" s="334"/>
      <c r="NI45" s="334"/>
      <c r="NJ45" s="334"/>
      <c r="NK45" s="334"/>
      <c r="NL45" s="334"/>
      <c r="NM45" s="334"/>
      <c r="NN45" s="334"/>
      <c r="NO45" s="334"/>
      <c r="NP45" s="334"/>
      <c r="NQ45" s="334"/>
      <c r="NR45" s="334"/>
      <c r="NS45" s="334"/>
      <c r="NT45" s="334"/>
      <c r="NU45" s="334"/>
      <c r="NV45" s="334"/>
      <c r="NW45" s="334"/>
      <c r="NX45" s="334"/>
      <c r="NY45" s="334"/>
      <c r="NZ45" s="334"/>
      <c r="OA45" s="334"/>
      <c r="OB45" s="334"/>
      <c r="OC45" s="334"/>
      <c r="OD45" s="334"/>
      <c r="OE45" s="334"/>
      <c r="OF45" s="334"/>
      <c r="OG45" s="334"/>
      <c r="OH45" s="334"/>
      <c r="OI45" s="334"/>
      <c r="OJ45" s="334"/>
      <c r="OK45" s="334"/>
      <c r="OL45" s="334"/>
      <c r="OM45" s="334"/>
      <c r="ON45" s="334"/>
      <c r="OO45" s="334"/>
      <c r="OP45" s="334"/>
      <c r="OQ45" s="334"/>
      <c r="OR45" s="334"/>
      <c r="OS45" s="334"/>
      <c r="OT45" s="334"/>
      <c r="OU45" s="334"/>
      <c r="OV45" s="334"/>
      <c r="OW45" s="334"/>
      <c r="OX45" s="334"/>
      <c r="OY45" s="334"/>
      <c r="OZ45" s="334"/>
      <c r="PA45" s="334"/>
      <c r="PB45" s="334"/>
      <c r="PC45" s="334"/>
      <c r="PD45" s="334"/>
      <c r="PE45" s="334"/>
      <c r="PF45" s="334"/>
      <c r="PG45" s="334"/>
      <c r="PH45" s="334"/>
      <c r="PI45" s="334"/>
      <c r="PJ45" s="334"/>
      <c r="PK45" s="334"/>
      <c r="PL45" s="334"/>
      <c r="PM45" s="334"/>
      <c r="PN45" s="334"/>
      <c r="PO45" s="334"/>
      <c r="PP45" s="334"/>
      <c r="PQ45" s="334"/>
      <c r="PR45" s="334"/>
      <c r="PS45" s="334"/>
      <c r="PT45" s="334"/>
      <c r="PU45" s="334"/>
      <c r="PV45" s="334"/>
      <c r="PW45" s="334"/>
      <c r="PX45" s="334"/>
      <c r="PY45" s="334"/>
      <c r="PZ45" s="334"/>
      <c r="QA45" s="334"/>
      <c r="QB45" s="334"/>
      <c r="QC45" s="334"/>
      <c r="QD45" s="334"/>
      <c r="QE45" s="334"/>
      <c r="QF45" s="334"/>
      <c r="QG45" s="334"/>
      <c r="QH45" s="334"/>
      <c r="QI45" s="334"/>
      <c r="QJ45" s="334"/>
      <c r="QK45" s="334"/>
      <c r="QL45" s="334"/>
      <c r="QM45" s="334"/>
      <c r="QN45" s="334"/>
      <c r="QO45" s="334"/>
      <c r="QP45" s="334"/>
      <c r="QQ45" s="334"/>
      <c r="QR45" s="334"/>
      <c r="QS45" s="334"/>
      <c r="QT45" s="334"/>
      <c r="QU45" s="334"/>
      <c r="QV45" s="334"/>
      <c r="QW45" s="334"/>
      <c r="QX45" s="334"/>
      <c r="QY45" s="334"/>
      <c r="QZ45" s="334"/>
      <c r="RA45" s="334"/>
      <c r="RB45" s="334"/>
      <c r="RC45" s="334"/>
      <c r="RD45" s="334"/>
      <c r="RE45" s="334"/>
      <c r="RF45" s="334"/>
      <c r="RG45" s="334"/>
      <c r="RH45" s="334"/>
      <c r="RI45" s="334"/>
      <c r="RJ45" s="334"/>
      <c r="RK45" s="334"/>
      <c r="RL45" s="334"/>
      <c r="RM45" s="334"/>
      <c r="RN45" s="334"/>
      <c r="RO45" s="334"/>
      <c r="RP45" s="334"/>
      <c r="RQ45" s="334"/>
      <c r="RR45" s="334"/>
      <c r="RS45" s="334"/>
      <c r="RT45" s="334"/>
      <c r="RU45" s="334"/>
      <c r="RV45" s="334"/>
      <c r="RW45" s="334"/>
      <c r="RX45" s="334"/>
      <c r="RY45" s="334"/>
      <c r="RZ45" s="334"/>
      <c r="SA45" s="334"/>
      <c r="SB45" s="334"/>
      <c r="SC45" s="334"/>
      <c r="SD45" s="334"/>
      <c r="SE45" s="334"/>
      <c r="SF45" s="334"/>
      <c r="SG45" s="334"/>
      <c r="SH45" s="334"/>
      <c r="SI45" s="334"/>
      <c r="SJ45" s="334"/>
      <c r="SK45" s="334"/>
      <c r="SL45" s="334"/>
      <c r="SM45" s="334"/>
      <c r="SN45" s="334"/>
      <c r="SO45" s="334"/>
      <c r="SP45" s="334"/>
      <c r="SQ45" s="334"/>
      <c r="SR45" s="334"/>
      <c r="SS45" s="334"/>
      <c r="ST45" s="334"/>
      <c r="SU45" s="334"/>
      <c r="SV45" s="334"/>
      <c r="SW45" s="334"/>
      <c r="SX45" s="334"/>
      <c r="SY45" s="334"/>
      <c r="SZ45" s="334"/>
      <c r="TA45" s="334"/>
      <c r="TB45" s="334"/>
      <c r="TC45" s="334"/>
      <c r="TD45" s="334"/>
      <c r="TE45" s="334"/>
      <c r="TF45" s="334"/>
      <c r="TG45" s="334"/>
      <c r="TH45" s="334"/>
      <c r="TI45" s="334"/>
      <c r="TJ45" s="334"/>
      <c r="TK45" s="334"/>
      <c r="TL45" s="334"/>
      <c r="TM45" s="334"/>
      <c r="TN45" s="334"/>
      <c r="TO45" s="334"/>
      <c r="TP45" s="334"/>
      <c r="TQ45" s="334"/>
      <c r="TR45" s="334"/>
      <c r="TS45" s="334"/>
      <c r="TT45" s="334"/>
      <c r="TU45" s="334"/>
      <c r="TV45" s="334"/>
      <c r="TW45" s="334"/>
      <c r="TX45" s="334"/>
      <c r="TY45" s="334"/>
      <c r="TZ45" s="334"/>
      <c r="UA45" s="334"/>
      <c r="UB45" s="334"/>
      <c r="UC45" s="334"/>
      <c r="UD45" s="334"/>
      <c r="UE45" s="334"/>
      <c r="UF45" s="334"/>
      <c r="UG45" s="334"/>
      <c r="UH45" s="334"/>
      <c r="UI45" s="334"/>
      <c r="UJ45" s="334"/>
      <c r="UK45" s="334"/>
      <c r="UL45" s="334"/>
      <c r="UM45" s="334"/>
      <c r="UN45" s="334"/>
      <c r="UO45" s="334"/>
      <c r="UP45" s="334"/>
      <c r="UQ45" s="334"/>
      <c r="UR45" s="334"/>
      <c r="US45" s="334"/>
      <c r="UT45" s="334"/>
      <c r="UU45" s="334"/>
      <c r="UV45" s="334"/>
      <c r="UW45" s="334"/>
      <c r="UX45" s="334"/>
      <c r="UY45" s="334"/>
      <c r="UZ45" s="334"/>
      <c r="VA45" s="334"/>
      <c r="VB45" s="334"/>
      <c r="VC45" s="334"/>
      <c r="VD45" s="334"/>
      <c r="VE45" s="334"/>
      <c r="VF45" s="334"/>
      <c r="VG45" s="334"/>
      <c r="VH45" s="334"/>
      <c r="VI45" s="334"/>
      <c r="VJ45" s="334"/>
      <c r="VK45" s="334"/>
      <c r="VL45" s="334"/>
      <c r="VM45" s="334"/>
      <c r="VN45" s="334"/>
      <c r="VO45" s="334"/>
      <c r="VP45" s="334"/>
      <c r="VQ45" s="334"/>
      <c r="VR45" s="334"/>
      <c r="VS45" s="334"/>
      <c r="VT45" s="334"/>
      <c r="VU45" s="334"/>
      <c r="VV45" s="334"/>
      <c r="VW45" s="334"/>
      <c r="VX45" s="334"/>
      <c r="VY45" s="334"/>
      <c r="VZ45" s="334"/>
      <c r="WA45" s="334"/>
      <c r="WB45" s="334"/>
      <c r="WC45" s="334"/>
      <c r="WD45" s="334"/>
      <c r="WE45" s="334"/>
      <c r="WF45" s="334"/>
      <c r="WG45" s="334"/>
      <c r="WH45" s="334"/>
      <c r="WI45" s="334"/>
      <c r="WJ45" s="334"/>
      <c r="WK45" s="334"/>
      <c r="WL45" s="334"/>
      <c r="WM45" s="334"/>
      <c r="WN45" s="334"/>
      <c r="WO45" s="334"/>
      <c r="WP45" s="334"/>
      <c r="WQ45" s="334"/>
      <c r="WR45" s="334"/>
      <c r="WS45" s="334"/>
      <c r="WT45" s="334"/>
      <c r="WU45" s="334"/>
      <c r="WV45" s="334"/>
      <c r="WW45" s="334"/>
      <c r="WX45" s="334"/>
      <c r="WY45" s="334"/>
      <c r="WZ45" s="334"/>
      <c r="XA45" s="334"/>
      <c r="XB45" s="334"/>
      <c r="XC45" s="334"/>
      <c r="XD45" s="334"/>
      <c r="XE45" s="334"/>
      <c r="XF45" s="334"/>
      <c r="XG45" s="334"/>
      <c r="XH45" s="334"/>
      <c r="XI45" s="334"/>
      <c r="XJ45" s="334"/>
      <c r="XK45" s="334"/>
      <c r="XL45" s="334"/>
      <c r="XM45" s="334"/>
      <c r="XN45" s="334"/>
      <c r="XO45" s="334"/>
      <c r="XP45" s="334"/>
      <c r="XQ45" s="334"/>
      <c r="XR45" s="334"/>
      <c r="XS45" s="334"/>
      <c r="XT45" s="334"/>
      <c r="XU45" s="334"/>
      <c r="XV45" s="334"/>
      <c r="XW45" s="334"/>
      <c r="XX45" s="334"/>
      <c r="XY45" s="334"/>
      <c r="XZ45" s="334"/>
      <c r="YA45" s="334"/>
      <c r="YB45" s="334"/>
      <c r="YC45" s="334"/>
      <c r="YD45" s="334"/>
      <c r="YE45" s="334"/>
      <c r="YF45" s="334"/>
      <c r="YG45" s="334"/>
      <c r="YH45" s="334"/>
      <c r="YI45" s="334"/>
      <c r="YJ45" s="334"/>
      <c r="YK45" s="334"/>
      <c r="YL45" s="334"/>
      <c r="YM45" s="334"/>
      <c r="YN45" s="334"/>
      <c r="YO45" s="334"/>
      <c r="YP45" s="334"/>
      <c r="YQ45" s="334"/>
      <c r="YR45" s="334"/>
      <c r="YS45" s="334"/>
      <c r="YT45" s="334"/>
      <c r="YU45" s="334"/>
      <c r="YV45" s="334"/>
      <c r="YW45" s="334"/>
      <c r="YX45" s="334"/>
      <c r="YY45" s="334"/>
      <c r="YZ45" s="334"/>
      <c r="ZA45" s="334"/>
      <c r="ZB45" s="334"/>
      <c r="ZC45" s="334"/>
      <c r="ZD45" s="334"/>
      <c r="ZE45" s="334"/>
      <c r="ZF45" s="334"/>
      <c r="ZG45" s="334"/>
      <c r="ZH45" s="334"/>
      <c r="ZI45" s="334"/>
      <c r="ZJ45" s="334"/>
      <c r="ZK45" s="334"/>
      <c r="ZL45" s="334"/>
      <c r="ZM45" s="334"/>
      <c r="ZN45" s="334"/>
      <c r="ZO45" s="334"/>
      <c r="ZP45" s="334"/>
      <c r="ZQ45" s="334"/>
      <c r="ZR45" s="334"/>
      <c r="ZS45" s="334"/>
      <c r="ZT45" s="334"/>
      <c r="ZU45" s="334"/>
      <c r="ZV45" s="334"/>
      <c r="ZW45" s="334"/>
      <c r="ZX45" s="334"/>
      <c r="ZY45" s="334"/>
      <c r="ZZ45" s="334"/>
      <c r="AAA45" s="334"/>
      <c r="AAB45" s="334"/>
      <c r="AAC45" s="334"/>
      <c r="AAD45" s="334"/>
      <c r="AAE45" s="334"/>
      <c r="AAF45" s="334"/>
      <c r="AAG45" s="334"/>
      <c r="AAH45" s="334"/>
      <c r="AAI45" s="334"/>
      <c r="AAJ45" s="334"/>
      <c r="AAK45" s="334"/>
      <c r="AAL45" s="334"/>
      <c r="AAM45" s="334"/>
      <c r="AAN45" s="334"/>
      <c r="AAO45" s="334"/>
      <c r="AAP45" s="334"/>
      <c r="AAQ45" s="334"/>
      <c r="AAR45" s="334"/>
      <c r="AAS45" s="334"/>
      <c r="AAT45" s="334"/>
      <c r="AAU45" s="334"/>
      <c r="AAV45" s="334"/>
      <c r="AAW45" s="334"/>
      <c r="AAX45" s="334"/>
      <c r="AAY45" s="334"/>
      <c r="AAZ45" s="334"/>
      <c r="ABA45" s="334"/>
      <c r="ABB45" s="334"/>
      <c r="ABC45" s="334"/>
      <c r="ABD45" s="334"/>
      <c r="ABE45" s="334"/>
      <c r="ABF45" s="334"/>
      <c r="ABG45" s="334"/>
      <c r="ABH45" s="334"/>
      <c r="ABI45" s="334"/>
      <c r="ABJ45" s="334"/>
      <c r="ABK45" s="334"/>
      <c r="ABL45" s="334"/>
      <c r="ABM45" s="334"/>
      <c r="ABN45" s="334"/>
      <c r="ABO45" s="334"/>
      <c r="ABP45" s="334"/>
      <c r="ABQ45" s="334"/>
      <c r="ABR45" s="334"/>
      <c r="ABS45" s="334"/>
      <c r="ABT45" s="334"/>
      <c r="ABU45" s="334"/>
      <c r="ABV45" s="334"/>
      <c r="ABW45" s="334"/>
      <c r="ABX45" s="334"/>
      <c r="ABY45" s="334"/>
      <c r="ABZ45" s="334"/>
      <c r="ACA45" s="334"/>
      <c r="ACB45" s="334"/>
      <c r="ACC45" s="334"/>
      <c r="ACD45" s="334"/>
      <c r="ACE45" s="334"/>
      <c r="ACF45" s="334"/>
      <c r="ACG45" s="334"/>
      <c r="ACH45" s="334"/>
      <c r="ACI45" s="334"/>
      <c r="ACJ45" s="334"/>
      <c r="ACK45" s="334"/>
      <c r="ACL45" s="334"/>
      <c r="ACM45" s="334"/>
      <c r="ACN45" s="334"/>
      <c r="ACO45" s="334"/>
      <c r="ACP45" s="334"/>
      <c r="ACQ45" s="334"/>
      <c r="ACR45" s="334"/>
      <c r="ACS45" s="334"/>
      <c r="ACT45" s="334"/>
      <c r="ACU45" s="334"/>
      <c r="ACV45" s="334"/>
      <c r="ACW45" s="334"/>
      <c r="ACX45" s="334"/>
      <c r="ACY45" s="334"/>
      <c r="ACZ45" s="334"/>
      <c r="ADA45" s="334"/>
      <c r="ADB45" s="334"/>
      <c r="ADC45" s="334"/>
      <c r="ADD45" s="334"/>
      <c r="ADE45" s="334"/>
      <c r="ADF45" s="334"/>
      <c r="ADG45" s="334"/>
      <c r="ADH45" s="334"/>
      <c r="ADI45" s="334"/>
      <c r="ADJ45" s="334"/>
      <c r="ADK45" s="334"/>
      <c r="ADL45" s="334"/>
      <c r="ADM45" s="334"/>
      <c r="ADN45" s="334"/>
      <c r="ADO45" s="334"/>
      <c r="ADP45" s="334"/>
      <c r="ADQ45" s="334"/>
      <c r="ADR45" s="334"/>
      <c r="ADS45" s="334"/>
      <c r="ADT45" s="334"/>
      <c r="ADU45" s="334"/>
      <c r="ADV45" s="334"/>
      <c r="ADW45" s="334"/>
      <c r="ADX45" s="334"/>
      <c r="ADY45" s="334"/>
      <c r="ADZ45" s="334"/>
      <c r="AEA45" s="334"/>
      <c r="AEB45" s="334"/>
      <c r="AEC45" s="334"/>
      <c r="AED45" s="334"/>
      <c r="AEE45" s="334"/>
      <c r="AEF45" s="334"/>
      <c r="AEG45" s="334"/>
      <c r="AEH45" s="334"/>
      <c r="AEI45" s="334"/>
      <c r="AEJ45" s="334"/>
      <c r="AEK45" s="334"/>
      <c r="AEL45" s="334"/>
      <c r="AEM45" s="334"/>
      <c r="AEN45" s="334"/>
      <c r="AEO45" s="334"/>
      <c r="AEP45" s="334"/>
      <c r="AEQ45" s="334"/>
      <c r="AER45" s="334"/>
      <c r="AES45" s="334"/>
      <c r="AET45" s="334"/>
      <c r="AEU45" s="334"/>
      <c r="AEV45" s="334"/>
      <c r="AEW45" s="334"/>
      <c r="AEX45" s="334"/>
      <c r="AEY45" s="334"/>
      <c r="AEZ45" s="334"/>
      <c r="AFA45" s="334"/>
      <c r="AFB45" s="334"/>
      <c r="AFC45" s="334"/>
      <c r="AFD45" s="334"/>
      <c r="AFE45" s="334"/>
      <c r="AFF45" s="334"/>
      <c r="AFG45" s="334"/>
      <c r="AFH45" s="334"/>
      <c r="AFI45" s="334"/>
      <c r="AFJ45" s="334"/>
      <c r="AFK45" s="334"/>
      <c r="AFL45" s="334"/>
      <c r="AFM45" s="334"/>
      <c r="AFN45" s="334"/>
      <c r="AFO45" s="334"/>
      <c r="AFP45" s="334"/>
      <c r="AFQ45" s="334"/>
      <c r="AFR45" s="334"/>
      <c r="AFS45" s="334"/>
      <c r="AFT45" s="334"/>
      <c r="AFU45" s="334"/>
      <c r="AFV45" s="334"/>
      <c r="AFW45" s="334"/>
      <c r="AFX45" s="334"/>
      <c r="AFY45" s="334"/>
      <c r="AFZ45" s="334"/>
      <c r="AGA45" s="334"/>
      <c r="AGB45" s="334"/>
      <c r="AGC45" s="334"/>
      <c r="AGD45" s="334"/>
      <c r="AGE45" s="334"/>
      <c r="AGF45" s="334"/>
      <c r="AGG45" s="334"/>
      <c r="AGH45" s="334"/>
      <c r="AGI45" s="334"/>
      <c r="AGJ45" s="334"/>
      <c r="AGK45" s="334"/>
      <c r="AGL45" s="334"/>
      <c r="AGM45" s="334"/>
      <c r="AGN45" s="334"/>
      <c r="AGO45" s="334"/>
      <c r="AGP45" s="334"/>
      <c r="AGQ45" s="334"/>
      <c r="AGR45" s="334"/>
      <c r="AGS45" s="334"/>
      <c r="AGT45" s="334"/>
      <c r="AGU45" s="334"/>
      <c r="AGV45" s="334"/>
      <c r="AGW45" s="334"/>
      <c r="AGX45" s="334"/>
      <c r="AGY45" s="334"/>
      <c r="AGZ45" s="334"/>
      <c r="AHA45" s="334"/>
      <c r="AHB45" s="334"/>
      <c r="AHC45" s="334"/>
      <c r="AHD45" s="334"/>
      <c r="AHE45" s="334"/>
      <c r="AHF45" s="334"/>
      <c r="AHG45" s="334"/>
      <c r="AHH45" s="334"/>
      <c r="AHI45" s="334"/>
      <c r="AHJ45" s="334"/>
      <c r="AHK45" s="334"/>
      <c r="AHL45" s="334"/>
      <c r="AHM45" s="334"/>
      <c r="AHN45" s="334"/>
      <c r="AHO45" s="334"/>
      <c r="AHP45" s="334"/>
      <c r="AHQ45" s="334"/>
      <c r="AHR45" s="334"/>
      <c r="AHS45" s="334"/>
      <c r="AHT45" s="334"/>
      <c r="AHU45" s="334"/>
      <c r="AHV45" s="334"/>
      <c r="AHW45" s="334"/>
      <c r="AHX45" s="334"/>
      <c r="AHY45" s="334"/>
      <c r="AHZ45" s="334"/>
      <c r="AIA45" s="334"/>
      <c r="AIB45" s="334"/>
      <c r="AIC45" s="334"/>
      <c r="AID45" s="334"/>
      <c r="AIE45" s="334"/>
      <c r="AIF45" s="334"/>
      <c r="AIG45" s="334"/>
      <c r="AIH45" s="334"/>
      <c r="AII45" s="334"/>
      <c r="AIJ45" s="334"/>
      <c r="AIK45" s="334"/>
      <c r="AIL45" s="334"/>
      <c r="AIM45" s="334"/>
      <c r="AIN45" s="334"/>
      <c r="AIO45" s="334"/>
      <c r="AIP45" s="334"/>
      <c r="AIQ45" s="334"/>
      <c r="AIR45" s="334"/>
      <c r="AIS45" s="334"/>
      <c r="AIT45" s="334"/>
      <c r="AIU45" s="334"/>
      <c r="AIV45" s="334"/>
      <c r="AIW45" s="334"/>
      <c r="AIX45" s="334"/>
      <c r="AIY45" s="334"/>
      <c r="AIZ45" s="334"/>
      <c r="AJA45" s="334"/>
      <c r="AJB45" s="334"/>
      <c r="AJC45" s="334"/>
      <c r="AJD45" s="334"/>
      <c r="AJE45" s="334"/>
      <c r="AJF45" s="334"/>
      <c r="AJG45" s="334"/>
      <c r="AJH45" s="334"/>
      <c r="AJI45" s="334"/>
      <c r="AJJ45" s="334"/>
      <c r="AJK45" s="334"/>
      <c r="AJL45" s="334"/>
      <c r="AJM45" s="334"/>
      <c r="AJN45" s="334"/>
      <c r="AJO45" s="334"/>
      <c r="AJP45" s="334"/>
      <c r="AJQ45" s="334"/>
      <c r="AJR45" s="334"/>
      <c r="AJS45" s="334"/>
      <c r="AJT45" s="334"/>
      <c r="AJU45" s="334"/>
      <c r="AJV45" s="334"/>
      <c r="AJW45" s="334"/>
      <c r="AJX45" s="334"/>
      <c r="AJY45" s="334"/>
      <c r="AJZ45" s="334"/>
      <c r="AKA45" s="334"/>
      <c r="AKB45" s="334"/>
      <c r="AKC45" s="334"/>
      <c r="AKD45" s="334"/>
      <c r="AKE45" s="334"/>
      <c r="AKF45" s="334"/>
      <c r="AKG45" s="334"/>
      <c r="AKH45" s="334"/>
      <c r="AKI45" s="334"/>
      <c r="AKJ45" s="334"/>
      <c r="AKK45" s="334"/>
      <c r="AKL45" s="334"/>
      <c r="AKM45" s="334"/>
      <c r="AKN45" s="334"/>
      <c r="AKO45" s="334"/>
      <c r="AKP45" s="334"/>
      <c r="AKQ45" s="334"/>
      <c r="AKR45" s="334"/>
      <c r="AKS45" s="334"/>
      <c r="AKT45" s="334"/>
      <c r="AKU45" s="334"/>
      <c r="AKV45" s="334"/>
      <c r="AKW45" s="334"/>
      <c r="AKX45" s="334"/>
      <c r="AKY45" s="334"/>
      <c r="AKZ45" s="334"/>
      <c r="ALA45" s="334"/>
      <c r="ALB45" s="334"/>
      <c r="ALC45" s="334"/>
      <c r="ALD45" s="334"/>
      <c r="ALE45" s="334"/>
      <c r="ALF45" s="334"/>
      <c r="ALG45" s="334"/>
      <c r="ALH45" s="334"/>
      <c r="ALI45" s="334"/>
      <c r="ALJ45" s="334"/>
      <c r="ALK45" s="334"/>
      <c r="ALL45" s="334"/>
      <c r="ALM45" s="334"/>
      <c r="ALN45" s="334"/>
      <c r="ALO45" s="334"/>
      <c r="ALP45" s="334"/>
      <c r="ALQ45" s="334"/>
      <c r="ALR45" s="334"/>
      <c r="ALS45" s="334"/>
      <c r="ALT45" s="334"/>
      <c r="ALU45" s="334"/>
      <c r="ALV45" s="334"/>
      <c r="ALW45" s="334"/>
      <c r="ALX45" s="334"/>
      <c r="ALY45" s="334"/>
      <c r="ALZ45" s="334"/>
      <c r="AMA45" s="334"/>
      <c r="AMB45" s="334"/>
      <c r="AMC45" s="334"/>
      <c r="AMD45" s="334"/>
      <c r="AME45" s="334"/>
      <c r="AMF45" s="334"/>
      <c r="AMG45" s="334"/>
      <c r="AMH45" s="334"/>
      <c r="AMI45" s="334"/>
      <c r="AMJ45" s="334"/>
      <c r="AMK45" s="334"/>
      <c r="AML45" s="334"/>
      <c r="AMM45" s="334"/>
      <c r="AMN45" s="334"/>
      <c r="AMO45" s="334"/>
      <c r="AMP45" s="334"/>
      <c r="AMQ45" s="334"/>
      <c r="AMR45" s="334"/>
      <c r="AMS45" s="334"/>
      <c r="AMT45" s="334"/>
      <c r="AMU45" s="334"/>
      <c r="AMV45" s="334"/>
      <c r="AMW45" s="334"/>
      <c r="AMX45" s="334"/>
      <c r="AMY45" s="334"/>
      <c r="AMZ45" s="334"/>
    </row>
    <row r="46" spans="1:1040" s="333" customFormat="1" ht="13.2" x14ac:dyDescent="0.25">
      <c r="A46" s="334"/>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5"/>
      <c r="AA46" s="335"/>
      <c r="AB46" s="335"/>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334"/>
      <c r="BV46" s="334"/>
      <c r="BW46" s="334"/>
      <c r="BX46" s="334"/>
      <c r="BY46" s="334"/>
      <c r="BZ46" s="334"/>
      <c r="CA46" s="334"/>
      <c r="CB46" s="334"/>
      <c r="CC46" s="334"/>
      <c r="CD46" s="334"/>
      <c r="CE46" s="334"/>
      <c r="CF46" s="334"/>
      <c r="CG46" s="334"/>
      <c r="CH46" s="334"/>
      <c r="CI46" s="334"/>
      <c r="CJ46" s="334"/>
      <c r="CK46" s="334"/>
      <c r="CL46" s="334"/>
      <c r="CM46" s="334"/>
      <c r="CN46" s="334"/>
      <c r="CO46" s="334"/>
      <c r="CP46" s="334"/>
      <c r="CQ46" s="334"/>
      <c r="CR46" s="334"/>
      <c r="CS46" s="334"/>
      <c r="CT46" s="334"/>
      <c r="CU46" s="334"/>
      <c r="CV46" s="334"/>
      <c r="CW46" s="334"/>
      <c r="CX46" s="334"/>
      <c r="CY46" s="334"/>
      <c r="CZ46" s="334"/>
      <c r="DA46" s="334"/>
      <c r="DB46" s="334"/>
      <c r="DC46" s="334"/>
      <c r="DD46" s="334"/>
      <c r="DE46" s="334"/>
      <c r="DF46" s="334"/>
      <c r="DG46" s="334"/>
      <c r="DH46" s="334"/>
      <c r="DI46" s="334"/>
      <c r="DJ46" s="334"/>
      <c r="DK46" s="334"/>
      <c r="DL46" s="334"/>
      <c r="DM46" s="334"/>
      <c r="DN46" s="334"/>
      <c r="DO46" s="334"/>
      <c r="DP46" s="334"/>
      <c r="DQ46" s="334"/>
      <c r="DR46" s="334"/>
      <c r="DS46" s="334"/>
      <c r="DT46" s="334"/>
      <c r="DU46" s="334"/>
      <c r="DV46" s="334"/>
      <c r="DW46" s="334"/>
      <c r="DX46" s="334"/>
      <c r="DY46" s="334"/>
      <c r="DZ46" s="334"/>
      <c r="EA46" s="334"/>
      <c r="EB46" s="334"/>
      <c r="EC46" s="334"/>
      <c r="ED46" s="334"/>
      <c r="EE46" s="334"/>
      <c r="EF46" s="334"/>
      <c r="EG46" s="334"/>
      <c r="EH46" s="334"/>
      <c r="EI46" s="334"/>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4"/>
      <c r="FU46" s="334"/>
      <c r="FV46" s="334"/>
      <c r="FW46" s="334"/>
      <c r="FX46" s="334"/>
      <c r="FY46" s="334"/>
      <c r="FZ46" s="334"/>
      <c r="GA46" s="334"/>
      <c r="GB46" s="334"/>
      <c r="GC46" s="334"/>
      <c r="GD46" s="334"/>
      <c r="GE46" s="334"/>
      <c r="GF46" s="334"/>
      <c r="GG46" s="334"/>
      <c r="GH46" s="334"/>
      <c r="GI46" s="334"/>
      <c r="GJ46" s="334"/>
      <c r="GK46" s="334"/>
      <c r="GL46" s="334"/>
      <c r="GM46" s="334"/>
      <c r="GN46" s="334"/>
      <c r="GO46" s="334"/>
      <c r="GP46" s="334"/>
      <c r="GQ46" s="334"/>
      <c r="GR46" s="334"/>
      <c r="GS46" s="334"/>
      <c r="GT46" s="334"/>
      <c r="GU46" s="334"/>
      <c r="GV46" s="334"/>
      <c r="GW46" s="334"/>
      <c r="GX46" s="334"/>
      <c r="GY46" s="334"/>
      <c r="GZ46" s="334"/>
      <c r="HA46" s="334"/>
      <c r="HB46" s="334"/>
      <c r="HC46" s="334"/>
      <c r="HD46" s="334"/>
      <c r="HE46" s="334"/>
      <c r="HF46" s="334"/>
      <c r="HG46" s="334"/>
      <c r="HH46" s="334"/>
      <c r="HI46" s="334"/>
      <c r="HJ46" s="334"/>
      <c r="HK46" s="334"/>
      <c r="HL46" s="334"/>
      <c r="HM46" s="334"/>
      <c r="HN46" s="334"/>
      <c r="HO46" s="334"/>
      <c r="HP46" s="334"/>
      <c r="HQ46" s="334"/>
      <c r="HR46" s="334"/>
      <c r="HS46" s="334"/>
      <c r="HT46" s="334"/>
      <c r="HU46" s="334"/>
      <c r="HV46" s="334"/>
      <c r="HW46" s="334"/>
      <c r="HX46" s="334"/>
      <c r="HY46" s="334"/>
      <c r="HZ46" s="334"/>
      <c r="IA46" s="334"/>
      <c r="IB46" s="334"/>
      <c r="IC46" s="334"/>
      <c r="ID46" s="334"/>
      <c r="IE46" s="334"/>
      <c r="IF46" s="334"/>
      <c r="IG46" s="334"/>
      <c r="IH46" s="334"/>
      <c r="II46" s="334"/>
      <c r="IJ46" s="334"/>
      <c r="IK46" s="334"/>
      <c r="IL46" s="334"/>
      <c r="IM46" s="334"/>
      <c r="IN46" s="334"/>
      <c r="IO46" s="334"/>
      <c r="IP46" s="334"/>
      <c r="IQ46" s="334"/>
      <c r="IR46" s="334"/>
      <c r="IS46" s="334"/>
      <c r="IT46" s="334"/>
      <c r="IU46" s="334"/>
      <c r="IV46" s="334"/>
      <c r="IW46" s="334"/>
      <c r="IX46" s="334"/>
      <c r="IY46" s="334"/>
      <c r="IZ46" s="334"/>
      <c r="JA46" s="334"/>
      <c r="JB46" s="334"/>
      <c r="JC46" s="334"/>
      <c r="JD46" s="334"/>
      <c r="JE46" s="334"/>
      <c r="JF46" s="334"/>
      <c r="JG46" s="334"/>
      <c r="JH46" s="334"/>
      <c r="JI46" s="334"/>
      <c r="JJ46" s="334"/>
      <c r="JK46" s="334"/>
      <c r="JL46" s="334"/>
      <c r="JM46" s="334"/>
      <c r="JN46" s="334"/>
      <c r="JO46" s="334"/>
      <c r="JP46" s="334"/>
      <c r="JQ46" s="334"/>
      <c r="JR46" s="334"/>
      <c r="JS46" s="334"/>
      <c r="JT46" s="334"/>
      <c r="JU46" s="334"/>
      <c r="JV46" s="334"/>
      <c r="JW46" s="334"/>
      <c r="JX46" s="334"/>
      <c r="JY46" s="334"/>
      <c r="JZ46" s="334"/>
      <c r="KA46" s="334"/>
      <c r="KB46" s="334"/>
      <c r="KC46" s="334"/>
      <c r="KD46" s="334"/>
      <c r="KE46" s="334"/>
      <c r="KF46" s="334"/>
      <c r="KG46" s="334"/>
      <c r="KH46" s="334"/>
      <c r="KI46" s="334"/>
      <c r="KJ46" s="334"/>
      <c r="KK46" s="334"/>
      <c r="KL46" s="334"/>
      <c r="KM46" s="334"/>
      <c r="KN46" s="334"/>
      <c r="KO46" s="334"/>
      <c r="KP46" s="334"/>
      <c r="KQ46" s="334"/>
      <c r="KR46" s="334"/>
      <c r="KS46" s="334"/>
      <c r="KT46" s="334"/>
      <c r="KU46" s="334"/>
      <c r="KV46" s="334"/>
      <c r="KW46" s="334"/>
      <c r="KX46" s="334"/>
      <c r="KY46" s="334"/>
      <c r="KZ46" s="334"/>
      <c r="LA46" s="334"/>
      <c r="LB46" s="334"/>
      <c r="LC46" s="334"/>
      <c r="LD46" s="334"/>
      <c r="LE46" s="334"/>
      <c r="LF46" s="334"/>
      <c r="LG46" s="334"/>
      <c r="LH46" s="334"/>
      <c r="LI46" s="334"/>
      <c r="LJ46" s="334"/>
      <c r="LK46" s="334"/>
      <c r="LL46" s="334"/>
      <c r="LM46" s="334"/>
      <c r="LN46" s="334"/>
      <c r="LO46" s="334"/>
      <c r="LP46" s="334"/>
      <c r="LQ46" s="334"/>
      <c r="LR46" s="334"/>
      <c r="LS46" s="334"/>
      <c r="LT46" s="334"/>
      <c r="LU46" s="334"/>
      <c r="LV46" s="334"/>
      <c r="LW46" s="334"/>
      <c r="LX46" s="334"/>
      <c r="LY46" s="334"/>
      <c r="LZ46" s="334"/>
      <c r="MA46" s="334"/>
      <c r="MB46" s="334"/>
      <c r="MC46" s="334"/>
      <c r="MD46" s="334"/>
      <c r="ME46" s="334"/>
      <c r="MF46" s="334"/>
      <c r="MG46" s="334"/>
      <c r="MH46" s="334"/>
      <c r="MI46" s="334"/>
      <c r="MJ46" s="334"/>
      <c r="MK46" s="334"/>
      <c r="ML46" s="334"/>
      <c r="MM46" s="334"/>
      <c r="MN46" s="334"/>
      <c r="MO46" s="334"/>
      <c r="MP46" s="334"/>
      <c r="MQ46" s="334"/>
      <c r="MR46" s="334"/>
      <c r="MS46" s="334"/>
      <c r="MT46" s="334"/>
      <c r="MU46" s="334"/>
      <c r="MV46" s="334"/>
      <c r="MW46" s="334"/>
      <c r="MX46" s="334"/>
      <c r="MY46" s="334"/>
      <c r="MZ46" s="334"/>
      <c r="NA46" s="334"/>
      <c r="NB46" s="334"/>
      <c r="NC46" s="334"/>
      <c r="ND46" s="334"/>
      <c r="NE46" s="334"/>
      <c r="NF46" s="334"/>
      <c r="NG46" s="334"/>
      <c r="NH46" s="334"/>
      <c r="NI46" s="334"/>
      <c r="NJ46" s="334"/>
      <c r="NK46" s="334"/>
      <c r="NL46" s="334"/>
      <c r="NM46" s="334"/>
      <c r="NN46" s="334"/>
      <c r="NO46" s="334"/>
      <c r="NP46" s="334"/>
      <c r="NQ46" s="334"/>
      <c r="NR46" s="334"/>
      <c r="NS46" s="334"/>
      <c r="NT46" s="334"/>
      <c r="NU46" s="334"/>
      <c r="NV46" s="334"/>
      <c r="NW46" s="334"/>
      <c r="NX46" s="334"/>
      <c r="NY46" s="334"/>
      <c r="NZ46" s="334"/>
      <c r="OA46" s="334"/>
      <c r="OB46" s="334"/>
      <c r="OC46" s="334"/>
      <c r="OD46" s="334"/>
      <c r="OE46" s="334"/>
      <c r="OF46" s="334"/>
      <c r="OG46" s="334"/>
      <c r="OH46" s="334"/>
      <c r="OI46" s="334"/>
      <c r="OJ46" s="334"/>
      <c r="OK46" s="334"/>
      <c r="OL46" s="334"/>
      <c r="OM46" s="334"/>
      <c r="ON46" s="334"/>
      <c r="OO46" s="334"/>
      <c r="OP46" s="334"/>
      <c r="OQ46" s="334"/>
      <c r="OR46" s="334"/>
      <c r="OS46" s="334"/>
      <c r="OT46" s="334"/>
      <c r="OU46" s="334"/>
      <c r="OV46" s="334"/>
      <c r="OW46" s="334"/>
      <c r="OX46" s="334"/>
      <c r="OY46" s="334"/>
      <c r="OZ46" s="334"/>
      <c r="PA46" s="334"/>
      <c r="PB46" s="334"/>
      <c r="PC46" s="334"/>
      <c r="PD46" s="334"/>
      <c r="PE46" s="334"/>
      <c r="PF46" s="334"/>
      <c r="PG46" s="334"/>
      <c r="PH46" s="334"/>
      <c r="PI46" s="334"/>
      <c r="PJ46" s="334"/>
      <c r="PK46" s="334"/>
      <c r="PL46" s="334"/>
      <c r="PM46" s="334"/>
      <c r="PN46" s="334"/>
      <c r="PO46" s="334"/>
      <c r="PP46" s="334"/>
      <c r="PQ46" s="334"/>
      <c r="PR46" s="334"/>
      <c r="PS46" s="334"/>
      <c r="PT46" s="334"/>
      <c r="PU46" s="334"/>
      <c r="PV46" s="334"/>
      <c r="PW46" s="334"/>
      <c r="PX46" s="334"/>
      <c r="PY46" s="334"/>
      <c r="PZ46" s="334"/>
      <c r="QA46" s="334"/>
      <c r="QB46" s="334"/>
      <c r="QC46" s="334"/>
      <c r="QD46" s="334"/>
      <c r="QE46" s="334"/>
      <c r="QF46" s="334"/>
      <c r="QG46" s="334"/>
      <c r="QH46" s="334"/>
      <c r="QI46" s="334"/>
      <c r="QJ46" s="334"/>
      <c r="QK46" s="334"/>
      <c r="QL46" s="334"/>
      <c r="QM46" s="334"/>
      <c r="QN46" s="334"/>
      <c r="QO46" s="334"/>
      <c r="QP46" s="334"/>
      <c r="QQ46" s="334"/>
      <c r="QR46" s="334"/>
      <c r="QS46" s="334"/>
      <c r="QT46" s="334"/>
      <c r="QU46" s="334"/>
      <c r="QV46" s="334"/>
      <c r="QW46" s="334"/>
      <c r="QX46" s="334"/>
      <c r="QY46" s="334"/>
      <c r="QZ46" s="334"/>
      <c r="RA46" s="334"/>
      <c r="RB46" s="334"/>
      <c r="RC46" s="334"/>
      <c r="RD46" s="334"/>
      <c r="RE46" s="334"/>
      <c r="RF46" s="334"/>
      <c r="RG46" s="334"/>
      <c r="RH46" s="334"/>
      <c r="RI46" s="334"/>
      <c r="RJ46" s="334"/>
      <c r="RK46" s="334"/>
      <c r="RL46" s="334"/>
      <c r="RM46" s="334"/>
      <c r="RN46" s="334"/>
      <c r="RO46" s="334"/>
      <c r="RP46" s="334"/>
      <c r="RQ46" s="334"/>
      <c r="RR46" s="334"/>
      <c r="RS46" s="334"/>
      <c r="RT46" s="334"/>
      <c r="RU46" s="334"/>
      <c r="RV46" s="334"/>
      <c r="RW46" s="334"/>
      <c r="RX46" s="334"/>
      <c r="RY46" s="334"/>
      <c r="RZ46" s="334"/>
      <c r="SA46" s="334"/>
      <c r="SB46" s="334"/>
      <c r="SC46" s="334"/>
      <c r="SD46" s="334"/>
      <c r="SE46" s="334"/>
      <c r="SF46" s="334"/>
      <c r="SG46" s="334"/>
      <c r="SH46" s="334"/>
      <c r="SI46" s="334"/>
      <c r="SJ46" s="334"/>
      <c r="SK46" s="334"/>
      <c r="SL46" s="334"/>
      <c r="SM46" s="334"/>
      <c r="SN46" s="334"/>
      <c r="SO46" s="334"/>
      <c r="SP46" s="334"/>
      <c r="SQ46" s="334"/>
      <c r="SR46" s="334"/>
      <c r="SS46" s="334"/>
      <c r="ST46" s="334"/>
      <c r="SU46" s="334"/>
      <c r="SV46" s="334"/>
      <c r="SW46" s="334"/>
      <c r="SX46" s="334"/>
      <c r="SY46" s="334"/>
      <c r="SZ46" s="334"/>
      <c r="TA46" s="334"/>
      <c r="TB46" s="334"/>
      <c r="TC46" s="334"/>
      <c r="TD46" s="334"/>
      <c r="TE46" s="334"/>
      <c r="TF46" s="334"/>
      <c r="TG46" s="334"/>
      <c r="TH46" s="334"/>
      <c r="TI46" s="334"/>
      <c r="TJ46" s="334"/>
      <c r="TK46" s="334"/>
      <c r="TL46" s="334"/>
      <c r="TM46" s="334"/>
      <c r="TN46" s="334"/>
      <c r="TO46" s="334"/>
      <c r="TP46" s="334"/>
      <c r="TQ46" s="334"/>
      <c r="TR46" s="334"/>
      <c r="TS46" s="334"/>
      <c r="TT46" s="334"/>
      <c r="TU46" s="334"/>
      <c r="TV46" s="334"/>
      <c r="TW46" s="334"/>
      <c r="TX46" s="334"/>
      <c r="TY46" s="334"/>
      <c r="TZ46" s="334"/>
      <c r="UA46" s="334"/>
      <c r="UB46" s="334"/>
      <c r="UC46" s="334"/>
      <c r="UD46" s="334"/>
      <c r="UE46" s="334"/>
      <c r="UF46" s="334"/>
      <c r="UG46" s="334"/>
      <c r="UH46" s="334"/>
      <c r="UI46" s="334"/>
      <c r="UJ46" s="334"/>
      <c r="UK46" s="334"/>
      <c r="UL46" s="334"/>
      <c r="UM46" s="334"/>
      <c r="UN46" s="334"/>
      <c r="UO46" s="334"/>
      <c r="UP46" s="334"/>
      <c r="UQ46" s="334"/>
      <c r="UR46" s="334"/>
      <c r="US46" s="334"/>
      <c r="UT46" s="334"/>
      <c r="UU46" s="334"/>
      <c r="UV46" s="334"/>
      <c r="UW46" s="334"/>
      <c r="UX46" s="334"/>
      <c r="UY46" s="334"/>
      <c r="UZ46" s="334"/>
      <c r="VA46" s="334"/>
      <c r="VB46" s="334"/>
      <c r="VC46" s="334"/>
      <c r="VD46" s="334"/>
      <c r="VE46" s="334"/>
      <c r="VF46" s="334"/>
      <c r="VG46" s="334"/>
      <c r="VH46" s="334"/>
      <c r="VI46" s="334"/>
      <c r="VJ46" s="334"/>
      <c r="VK46" s="334"/>
      <c r="VL46" s="334"/>
      <c r="VM46" s="334"/>
      <c r="VN46" s="334"/>
      <c r="VO46" s="334"/>
      <c r="VP46" s="334"/>
      <c r="VQ46" s="334"/>
      <c r="VR46" s="334"/>
      <c r="VS46" s="334"/>
      <c r="VT46" s="334"/>
      <c r="VU46" s="334"/>
      <c r="VV46" s="334"/>
      <c r="VW46" s="334"/>
      <c r="VX46" s="334"/>
      <c r="VY46" s="334"/>
      <c r="VZ46" s="334"/>
      <c r="WA46" s="334"/>
      <c r="WB46" s="334"/>
      <c r="WC46" s="334"/>
      <c r="WD46" s="334"/>
      <c r="WE46" s="334"/>
      <c r="WF46" s="334"/>
      <c r="WG46" s="334"/>
      <c r="WH46" s="334"/>
      <c r="WI46" s="334"/>
      <c r="WJ46" s="334"/>
      <c r="WK46" s="334"/>
      <c r="WL46" s="334"/>
      <c r="WM46" s="334"/>
      <c r="WN46" s="334"/>
      <c r="WO46" s="334"/>
      <c r="WP46" s="334"/>
      <c r="WQ46" s="334"/>
      <c r="WR46" s="334"/>
      <c r="WS46" s="334"/>
      <c r="WT46" s="334"/>
      <c r="WU46" s="334"/>
      <c r="WV46" s="334"/>
      <c r="WW46" s="334"/>
      <c r="WX46" s="334"/>
      <c r="WY46" s="334"/>
      <c r="WZ46" s="334"/>
      <c r="XA46" s="334"/>
      <c r="XB46" s="334"/>
      <c r="XC46" s="334"/>
      <c r="XD46" s="334"/>
      <c r="XE46" s="334"/>
      <c r="XF46" s="334"/>
      <c r="XG46" s="334"/>
      <c r="XH46" s="334"/>
      <c r="XI46" s="334"/>
      <c r="XJ46" s="334"/>
      <c r="XK46" s="334"/>
      <c r="XL46" s="334"/>
      <c r="XM46" s="334"/>
      <c r="XN46" s="334"/>
      <c r="XO46" s="334"/>
      <c r="XP46" s="334"/>
      <c r="XQ46" s="334"/>
      <c r="XR46" s="334"/>
      <c r="XS46" s="334"/>
      <c r="XT46" s="334"/>
      <c r="XU46" s="334"/>
      <c r="XV46" s="334"/>
      <c r="XW46" s="334"/>
      <c r="XX46" s="334"/>
      <c r="XY46" s="334"/>
      <c r="XZ46" s="334"/>
      <c r="YA46" s="334"/>
      <c r="YB46" s="334"/>
      <c r="YC46" s="334"/>
      <c r="YD46" s="334"/>
      <c r="YE46" s="334"/>
      <c r="YF46" s="334"/>
      <c r="YG46" s="334"/>
      <c r="YH46" s="334"/>
      <c r="YI46" s="334"/>
      <c r="YJ46" s="334"/>
      <c r="YK46" s="334"/>
      <c r="YL46" s="334"/>
      <c r="YM46" s="334"/>
      <c r="YN46" s="334"/>
      <c r="YO46" s="334"/>
      <c r="YP46" s="334"/>
      <c r="YQ46" s="334"/>
      <c r="YR46" s="334"/>
      <c r="YS46" s="334"/>
      <c r="YT46" s="334"/>
      <c r="YU46" s="334"/>
      <c r="YV46" s="334"/>
      <c r="YW46" s="334"/>
      <c r="YX46" s="334"/>
      <c r="YY46" s="334"/>
      <c r="YZ46" s="334"/>
      <c r="ZA46" s="334"/>
      <c r="ZB46" s="334"/>
      <c r="ZC46" s="334"/>
      <c r="ZD46" s="334"/>
      <c r="ZE46" s="334"/>
      <c r="ZF46" s="334"/>
      <c r="ZG46" s="334"/>
      <c r="ZH46" s="334"/>
      <c r="ZI46" s="334"/>
      <c r="ZJ46" s="334"/>
      <c r="ZK46" s="334"/>
      <c r="ZL46" s="334"/>
      <c r="ZM46" s="334"/>
      <c r="ZN46" s="334"/>
      <c r="ZO46" s="334"/>
      <c r="ZP46" s="334"/>
      <c r="ZQ46" s="334"/>
      <c r="ZR46" s="334"/>
      <c r="ZS46" s="334"/>
      <c r="ZT46" s="334"/>
      <c r="ZU46" s="334"/>
      <c r="ZV46" s="334"/>
      <c r="ZW46" s="334"/>
      <c r="ZX46" s="334"/>
      <c r="ZY46" s="334"/>
      <c r="ZZ46" s="334"/>
      <c r="AAA46" s="334"/>
      <c r="AAB46" s="334"/>
      <c r="AAC46" s="334"/>
      <c r="AAD46" s="334"/>
      <c r="AAE46" s="334"/>
      <c r="AAF46" s="334"/>
      <c r="AAG46" s="334"/>
      <c r="AAH46" s="334"/>
      <c r="AAI46" s="334"/>
      <c r="AAJ46" s="334"/>
      <c r="AAK46" s="334"/>
      <c r="AAL46" s="334"/>
      <c r="AAM46" s="334"/>
      <c r="AAN46" s="334"/>
      <c r="AAO46" s="334"/>
      <c r="AAP46" s="334"/>
      <c r="AAQ46" s="334"/>
      <c r="AAR46" s="334"/>
      <c r="AAS46" s="334"/>
      <c r="AAT46" s="334"/>
      <c r="AAU46" s="334"/>
      <c r="AAV46" s="334"/>
      <c r="AAW46" s="334"/>
      <c r="AAX46" s="334"/>
      <c r="AAY46" s="334"/>
      <c r="AAZ46" s="334"/>
      <c r="ABA46" s="334"/>
      <c r="ABB46" s="334"/>
      <c r="ABC46" s="334"/>
      <c r="ABD46" s="334"/>
      <c r="ABE46" s="334"/>
      <c r="ABF46" s="334"/>
      <c r="ABG46" s="334"/>
      <c r="ABH46" s="334"/>
      <c r="ABI46" s="334"/>
      <c r="ABJ46" s="334"/>
      <c r="ABK46" s="334"/>
      <c r="ABL46" s="334"/>
      <c r="ABM46" s="334"/>
      <c r="ABN46" s="334"/>
      <c r="ABO46" s="334"/>
      <c r="ABP46" s="334"/>
      <c r="ABQ46" s="334"/>
      <c r="ABR46" s="334"/>
      <c r="ABS46" s="334"/>
      <c r="ABT46" s="334"/>
      <c r="ABU46" s="334"/>
      <c r="ABV46" s="334"/>
      <c r="ABW46" s="334"/>
      <c r="ABX46" s="334"/>
      <c r="ABY46" s="334"/>
      <c r="ABZ46" s="334"/>
      <c r="ACA46" s="334"/>
      <c r="ACB46" s="334"/>
      <c r="ACC46" s="334"/>
      <c r="ACD46" s="334"/>
      <c r="ACE46" s="334"/>
      <c r="ACF46" s="334"/>
      <c r="ACG46" s="334"/>
      <c r="ACH46" s="334"/>
      <c r="ACI46" s="334"/>
      <c r="ACJ46" s="334"/>
      <c r="ACK46" s="334"/>
      <c r="ACL46" s="334"/>
      <c r="ACM46" s="334"/>
      <c r="ACN46" s="334"/>
      <c r="ACO46" s="334"/>
      <c r="ACP46" s="334"/>
      <c r="ACQ46" s="334"/>
      <c r="ACR46" s="334"/>
      <c r="ACS46" s="334"/>
      <c r="ACT46" s="334"/>
      <c r="ACU46" s="334"/>
      <c r="ACV46" s="334"/>
      <c r="ACW46" s="334"/>
      <c r="ACX46" s="334"/>
      <c r="ACY46" s="334"/>
      <c r="ACZ46" s="334"/>
      <c r="ADA46" s="334"/>
      <c r="ADB46" s="334"/>
      <c r="ADC46" s="334"/>
      <c r="ADD46" s="334"/>
      <c r="ADE46" s="334"/>
      <c r="ADF46" s="334"/>
      <c r="ADG46" s="334"/>
      <c r="ADH46" s="334"/>
      <c r="ADI46" s="334"/>
      <c r="ADJ46" s="334"/>
      <c r="ADK46" s="334"/>
      <c r="ADL46" s="334"/>
      <c r="ADM46" s="334"/>
      <c r="ADN46" s="334"/>
      <c r="ADO46" s="334"/>
      <c r="ADP46" s="334"/>
      <c r="ADQ46" s="334"/>
      <c r="ADR46" s="334"/>
      <c r="ADS46" s="334"/>
      <c r="ADT46" s="334"/>
      <c r="ADU46" s="334"/>
      <c r="ADV46" s="334"/>
      <c r="ADW46" s="334"/>
      <c r="ADX46" s="334"/>
      <c r="ADY46" s="334"/>
      <c r="ADZ46" s="334"/>
      <c r="AEA46" s="334"/>
      <c r="AEB46" s="334"/>
      <c r="AEC46" s="334"/>
      <c r="AED46" s="334"/>
      <c r="AEE46" s="334"/>
      <c r="AEF46" s="334"/>
      <c r="AEG46" s="334"/>
      <c r="AEH46" s="334"/>
      <c r="AEI46" s="334"/>
      <c r="AEJ46" s="334"/>
      <c r="AEK46" s="334"/>
      <c r="AEL46" s="334"/>
      <c r="AEM46" s="334"/>
      <c r="AEN46" s="334"/>
      <c r="AEO46" s="334"/>
      <c r="AEP46" s="334"/>
      <c r="AEQ46" s="334"/>
      <c r="AER46" s="334"/>
      <c r="AES46" s="334"/>
      <c r="AET46" s="334"/>
      <c r="AEU46" s="334"/>
      <c r="AEV46" s="334"/>
      <c r="AEW46" s="334"/>
      <c r="AEX46" s="334"/>
      <c r="AEY46" s="334"/>
      <c r="AEZ46" s="334"/>
      <c r="AFA46" s="334"/>
      <c r="AFB46" s="334"/>
      <c r="AFC46" s="334"/>
      <c r="AFD46" s="334"/>
      <c r="AFE46" s="334"/>
      <c r="AFF46" s="334"/>
      <c r="AFG46" s="334"/>
      <c r="AFH46" s="334"/>
      <c r="AFI46" s="334"/>
      <c r="AFJ46" s="334"/>
      <c r="AFK46" s="334"/>
      <c r="AFL46" s="334"/>
      <c r="AFM46" s="334"/>
      <c r="AFN46" s="334"/>
      <c r="AFO46" s="334"/>
      <c r="AFP46" s="334"/>
      <c r="AFQ46" s="334"/>
      <c r="AFR46" s="334"/>
      <c r="AFS46" s="334"/>
      <c r="AFT46" s="334"/>
      <c r="AFU46" s="334"/>
      <c r="AFV46" s="334"/>
      <c r="AFW46" s="334"/>
      <c r="AFX46" s="334"/>
      <c r="AFY46" s="334"/>
      <c r="AFZ46" s="334"/>
      <c r="AGA46" s="334"/>
      <c r="AGB46" s="334"/>
      <c r="AGC46" s="334"/>
      <c r="AGD46" s="334"/>
      <c r="AGE46" s="334"/>
      <c r="AGF46" s="334"/>
      <c r="AGG46" s="334"/>
      <c r="AGH46" s="334"/>
      <c r="AGI46" s="334"/>
      <c r="AGJ46" s="334"/>
      <c r="AGK46" s="334"/>
      <c r="AGL46" s="334"/>
      <c r="AGM46" s="334"/>
      <c r="AGN46" s="334"/>
      <c r="AGO46" s="334"/>
      <c r="AGP46" s="334"/>
      <c r="AGQ46" s="334"/>
      <c r="AGR46" s="334"/>
      <c r="AGS46" s="334"/>
      <c r="AGT46" s="334"/>
      <c r="AGU46" s="334"/>
      <c r="AGV46" s="334"/>
      <c r="AGW46" s="334"/>
      <c r="AGX46" s="334"/>
      <c r="AGY46" s="334"/>
      <c r="AGZ46" s="334"/>
      <c r="AHA46" s="334"/>
      <c r="AHB46" s="334"/>
      <c r="AHC46" s="334"/>
      <c r="AHD46" s="334"/>
      <c r="AHE46" s="334"/>
      <c r="AHF46" s="334"/>
      <c r="AHG46" s="334"/>
      <c r="AHH46" s="334"/>
      <c r="AHI46" s="334"/>
      <c r="AHJ46" s="334"/>
      <c r="AHK46" s="334"/>
      <c r="AHL46" s="334"/>
      <c r="AHM46" s="334"/>
      <c r="AHN46" s="334"/>
      <c r="AHO46" s="334"/>
      <c r="AHP46" s="334"/>
      <c r="AHQ46" s="334"/>
      <c r="AHR46" s="334"/>
      <c r="AHS46" s="334"/>
      <c r="AHT46" s="334"/>
      <c r="AHU46" s="334"/>
      <c r="AHV46" s="334"/>
      <c r="AHW46" s="334"/>
      <c r="AHX46" s="334"/>
      <c r="AHY46" s="334"/>
      <c r="AHZ46" s="334"/>
      <c r="AIA46" s="334"/>
      <c r="AIB46" s="334"/>
      <c r="AIC46" s="334"/>
      <c r="AID46" s="334"/>
      <c r="AIE46" s="334"/>
      <c r="AIF46" s="334"/>
      <c r="AIG46" s="334"/>
      <c r="AIH46" s="334"/>
      <c r="AII46" s="334"/>
      <c r="AIJ46" s="334"/>
      <c r="AIK46" s="334"/>
      <c r="AIL46" s="334"/>
      <c r="AIM46" s="334"/>
      <c r="AIN46" s="334"/>
      <c r="AIO46" s="334"/>
      <c r="AIP46" s="334"/>
      <c r="AIQ46" s="334"/>
      <c r="AIR46" s="334"/>
      <c r="AIS46" s="334"/>
      <c r="AIT46" s="334"/>
      <c r="AIU46" s="334"/>
      <c r="AIV46" s="334"/>
      <c r="AIW46" s="334"/>
      <c r="AIX46" s="334"/>
      <c r="AIY46" s="334"/>
      <c r="AIZ46" s="334"/>
      <c r="AJA46" s="334"/>
      <c r="AJB46" s="334"/>
      <c r="AJC46" s="334"/>
      <c r="AJD46" s="334"/>
      <c r="AJE46" s="334"/>
      <c r="AJF46" s="334"/>
      <c r="AJG46" s="334"/>
      <c r="AJH46" s="334"/>
      <c r="AJI46" s="334"/>
      <c r="AJJ46" s="334"/>
      <c r="AJK46" s="334"/>
      <c r="AJL46" s="334"/>
      <c r="AJM46" s="334"/>
      <c r="AJN46" s="334"/>
      <c r="AJO46" s="334"/>
      <c r="AJP46" s="334"/>
      <c r="AJQ46" s="334"/>
      <c r="AJR46" s="334"/>
      <c r="AJS46" s="334"/>
      <c r="AJT46" s="334"/>
      <c r="AJU46" s="334"/>
      <c r="AJV46" s="334"/>
      <c r="AJW46" s="334"/>
      <c r="AJX46" s="334"/>
      <c r="AJY46" s="334"/>
      <c r="AJZ46" s="334"/>
      <c r="AKA46" s="334"/>
      <c r="AKB46" s="334"/>
      <c r="AKC46" s="334"/>
      <c r="AKD46" s="334"/>
      <c r="AKE46" s="334"/>
      <c r="AKF46" s="334"/>
      <c r="AKG46" s="334"/>
      <c r="AKH46" s="334"/>
      <c r="AKI46" s="334"/>
      <c r="AKJ46" s="334"/>
      <c r="AKK46" s="334"/>
      <c r="AKL46" s="334"/>
      <c r="AKM46" s="334"/>
      <c r="AKN46" s="334"/>
      <c r="AKO46" s="334"/>
      <c r="AKP46" s="334"/>
      <c r="AKQ46" s="334"/>
      <c r="AKR46" s="334"/>
      <c r="AKS46" s="334"/>
      <c r="AKT46" s="334"/>
      <c r="AKU46" s="334"/>
      <c r="AKV46" s="334"/>
      <c r="AKW46" s="334"/>
      <c r="AKX46" s="334"/>
      <c r="AKY46" s="334"/>
      <c r="AKZ46" s="334"/>
      <c r="ALA46" s="334"/>
      <c r="ALB46" s="334"/>
      <c r="ALC46" s="334"/>
      <c r="ALD46" s="334"/>
      <c r="ALE46" s="334"/>
      <c r="ALF46" s="334"/>
      <c r="ALG46" s="334"/>
      <c r="ALH46" s="334"/>
      <c r="ALI46" s="334"/>
      <c r="ALJ46" s="334"/>
      <c r="ALK46" s="334"/>
      <c r="ALL46" s="334"/>
      <c r="ALM46" s="334"/>
      <c r="ALN46" s="334"/>
      <c r="ALO46" s="334"/>
      <c r="ALP46" s="334"/>
      <c r="ALQ46" s="334"/>
      <c r="ALR46" s="334"/>
      <c r="ALS46" s="334"/>
      <c r="ALT46" s="334"/>
      <c r="ALU46" s="334"/>
      <c r="ALV46" s="334"/>
      <c r="ALW46" s="334"/>
      <c r="ALX46" s="334"/>
      <c r="ALY46" s="334"/>
      <c r="ALZ46" s="334"/>
      <c r="AMA46" s="334"/>
      <c r="AMB46" s="334"/>
      <c r="AMC46" s="334"/>
      <c r="AMD46" s="334"/>
      <c r="AME46" s="334"/>
      <c r="AMF46" s="334"/>
      <c r="AMG46" s="334"/>
      <c r="AMH46" s="334"/>
      <c r="AMI46" s="334"/>
      <c r="AMJ46" s="334"/>
      <c r="AMK46" s="334"/>
      <c r="AML46" s="334"/>
      <c r="AMM46" s="334"/>
      <c r="AMN46" s="334"/>
      <c r="AMO46" s="334"/>
      <c r="AMP46" s="334"/>
      <c r="AMQ46" s="334"/>
      <c r="AMR46" s="334"/>
      <c r="AMS46" s="334"/>
      <c r="AMT46" s="334"/>
      <c r="AMU46" s="334"/>
      <c r="AMV46" s="334"/>
      <c r="AMW46" s="334"/>
      <c r="AMX46" s="334"/>
      <c r="AMY46" s="334"/>
      <c r="AMZ46" s="334"/>
    </row>
    <row r="47" spans="1:1040" s="333" customFormat="1" ht="13.2" x14ac:dyDescent="0.25">
      <c r="A47" s="334"/>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5"/>
      <c r="AA47" s="335"/>
      <c r="AB47" s="335"/>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c r="EP47" s="334"/>
      <c r="EQ47" s="334"/>
      <c r="ER47" s="334"/>
      <c r="ES47" s="334"/>
      <c r="ET47" s="334"/>
      <c r="EU47" s="334"/>
      <c r="EV47" s="334"/>
      <c r="EW47" s="334"/>
      <c r="EX47" s="334"/>
      <c r="EY47" s="334"/>
      <c r="EZ47" s="334"/>
      <c r="FA47" s="334"/>
      <c r="FB47" s="334"/>
      <c r="FC47" s="334"/>
      <c r="FD47" s="334"/>
      <c r="FE47" s="334"/>
      <c r="FF47" s="334"/>
      <c r="FG47" s="334"/>
      <c r="FH47" s="334"/>
      <c r="FI47" s="334"/>
      <c r="FJ47" s="334"/>
      <c r="FK47" s="334"/>
      <c r="FL47" s="334"/>
      <c r="FM47" s="334"/>
      <c r="FN47" s="334"/>
      <c r="FO47" s="334"/>
      <c r="FP47" s="334"/>
      <c r="FQ47" s="334"/>
      <c r="FR47" s="334"/>
      <c r="FS47" s="334"/>
      <c r="FT47" s="334"/>
      <c r="FU47" s="334"/>
      <c r="FV47" s="334"/>
      <c r="FW47" s="334"/>
      <c r="FX47" s="334"/>
      <c r="FY47" s="334"/>
      <c r="FZ47" s="334"/>
      <c r="GA47" s="334"/>
      <c r="GB47" s="334"/>
      <c r="GC47" s="334"/>
      <c r="GD47" s="334"/>
      <c r="GE47" s="334"/>
      <c r="GF47" s="334"/>
      <c r="GG47" s="334"/>
      <c r="GH47" s="334"/>
      <c r="GI47" s="334"/>
      <c r="GJ47" s="334"/>
      <c r="GK47" s="334"/>
      <c r="GL47" s="334"/>
      <c r="GM47" s="334"/>
      <c r="GN47" s="334"/>
      <c r="GO47" s="334"/>
      <c r="GP47" s="334"/>
      <c r="GQ47" s="334"/>
      <c r="GR47" s="334"/>
      <c r="GS47" s="334"/>
      <c r="GT47" s="334"/>
      <c r="GU47" s="334"/>
      <c r="GV47" s="334"/>
      <c r="GW47" s="334"/>
      <c r="GX47" s="334"/>
      <c r="GY47" s="334"/>
      <c r="GZ47" s="334"/>
      <c r="HA47" s="334"/>
      <c r="HB47" s="334"/>
      <c r="HC47" s="334"/>
      <c r="HD47" s="334"/>
      <c r="HE47" s="334"/>
      <c r="HF47" s="334"/>
      <c r="HG47" s="334"/>
      <c r="HH47" s="334"/>
      <c r="HI47" s="334"/>
      <c r="HJ47" s="334"/>
      <c r="HK47" s="334"/>
      <c r="HL47" s="334"/>
      <c r="HM47" s="334"/>
      <c r="HN47" s="334"/>
      <c r="HO47" s="334"/>
      <c r="HP47" s="334"/>
      <c r="HQ47" s="334"/>
      <c r="HR47" s="334"/>
      <c r="HS47" s="334"/>
      <c r="HT47" s="334"/>
      <c r="HU47" s="334"/>
      <c r="HV47" s="334"/>
      <c r="HW47" s="334"/>
      <c r="HX47" s="334"/>
      <c r="HY47" s="334"/>
      <c r="HZ47" s="334"/>
      <c r="IA47" s="334"/>
      <c r="IB47" s="334"/>
      <c r="IC47" s="334"/>
      <c r="ID47" s="334"/>
      <c r="IE47" s="334"/>
      <c r="IF47" s="334"/>
      <c r="IG47" s="334"/>
      <c r="IH47" s="334"/>
      <c r="II47" s="334"/>
      <c r="IJ47" s="334"/>
      <c r="IK47" s="334"/>
      <c r="IL47" s="334"/>
      <c r="IM47" s="334"/>
      <c r="IN47" s="334"/>
      <c r="IO47" s="334"/>
      <c r="IP47" s="334"/>
      <c r="IQ47" s="334"/>
      <c r="IR47" s="334"/>
      <c r="IS47" s="334"/>
      <c r="IT47" s="334"/>
      <c r="IU47" s="334"/>
      <c r="IV47" s="334"/>
      <c r="IW47" s="334"/>
      <c r="IX47" s="334"/>
      <c r="IY47" s="334"/>
      <c r="IZ47" s="334"/>
      <c r="JA47" s="334"/>
      <c r="JB47" s="334"/>
      <c r="JC47" s="334"/>
      <c r="JD47" s="334"/>
      <c r="JE47" s="334"/>
      <c r="JF47" s="334"/>
      <c r="JG47" s="334"/>
      <c r="JH47" s="334"/>
      <c r="JI47" s="334"/>
      <c r="JJ47" s="334"/>
      <c r="JK47" s="334"/>
      <c r="JL47" s="334"/>
      <c r="JM47" s="334"/>
      <c r="JN47" s="334"/>
      <c r="JO47" s="334"/>
      <c r="JP47" s="334"/>
      <c r="JQ47" s="334"/>
      <c r="JR47" s="334"/>
      <c r="JS47" s="334"/>
      <c r="JT47" s="334"/>
      <c r="JU47" s="334"/>
      <c r="JV47" s="334"/>
      <c r="JW47" s="334"/>
      <c r="JX47" s="334"/>
      <c r="JY47" s="334"/>
      <c r="JZ47" s="334"/>
      <c r="KA47" s="334"/>
      <c r="KB47" s="334"/>
      <c r="KC47" s="334"/>
      <c r="KD47" s="334"/>
      <c r="KE47" s="334"/>
      <c r="KF47" s="334"/>
      <c r="KG47" s="334"/>
      <c r="KH47" s="334"/>
      <c r="KI47" s="334"/>
      <c r="KJ47" s="334"/>
      <c r="KK47" s="334"/>
      <c r="KL47" s="334"/>
      <c r="KM47" s="334"/>
      <c r="KN47" s="334"/>
      <c r="KO47" s="334"/>
      <c r="KP47" s="334"/>
      <c r="KQ47" s="334"/>
      <c r="KR47" s="334"/>
      <c r="KS47" s="334"/>
      <c r="KT47" s="334"/>
      <c r="KU47" s="334"/>
      <c r="KV47" s="334"/>
      <c r="KW47" s="334"/>
      <c r="KX47" s="334"/>
      <c r="KY47" s="334"/>
      <c r="KZ47" s="334"/>
      <c r="LA47" s="334"/>
      <c r="LB47" s="334"/>
      <c r="LC47" s="334"/>
      <c r="LD47" s="334"/>
      <c r="LE47" s="334"/>
      <c r="LF47" s="334"/>
      <c r="LG47" s="334"/>
      <c r="LH47" s="334"/>
      <c r="LI47" s="334"/>
      <c r="LJ47" s="334"/>
      <c r="LK47" s="334"/>
      <c r="LL47" s="334"/>
      <c r="LM47" s="334"/>
      <c r="LN47" s="334"/>
      <c r="LO47" s="334"/>
      <c r="LP47" s="334"/>
      <c r="LQ47" s="334"/>
      <c r="LR47" s="334"/>
      <c r="LS47" s="334"/>
      <c r="LT47" s="334"/>
      <c r="LU47" s="334"/>
      <c r="LV47" s="334"/>
      <c r="LW47" s="334"/>
      <c r="LX47" s="334"/>
      <c r="LY47" s="334"/>
      <c r="LZ47" s="334"/>
      <c r="MA47" s="334"/>
      <c r="MB47" s="334"/>
      <c r="MC47" s="334"/>
      <c r="MD47" s="334"/>
      <c r="ME47" s="334"/>
      <c r="MF47" s="334"/>
      <c r="MG47" s="334"/>
      <c r="MH47" s="334"/>
      <c r="MI47" s="334"/>
      <c r="MJ47" s="334"/>
      <c r="MK47" s="334"/>
      <c r="ML47" s="334"/>
      <c r="MM47" s="334"/>
      <c r="MN47" s="334"/>
      <c r="MO47" s="334"/>
      <c r="MP47" s="334"/>
      <c r="MQ47" s="334"/>
      <c r="MR47" s="334"/>
      <c r="MS47" s="334"/>
      <c r="MT47" s="334"/>
      <c r="MU47" s="334"/>
      <c r="MV47" s="334"/>
      <c r="MW47" s="334"/>
      <c r="MX47" s="334"/>
      <c r="MY47" s="334"/>
      <c r="MZ47" s="334"/>
      <c r="NA47" s="334"/>
      <c r="NB47" s="334"/>
      <c r="NC47" s="334"/>
      <c r="ND47" s="334"/>
      <c r="NE47" s="334"/>
      <c r="NF47" s="334"/>
      <c r="NG47" s="334"/>
      <c r="NH47" s="334"/>
      <c r="NI47" s="334"/>
      <c r="NJ47" s="334"/>
      <c r="NK47" s="334"/>
      <c r="NL47" s="334"/>
      <c r="NM47" s="334"/>
      <c r="NN47" s="334"/>
      <c r="NO47" s="334"/>
      <c r="NP47" s="334"/>
      <c r="NQ47" s="334"/>
      <c r="NR47" s="334"/>
      <c r="NS47" s="334"/>
      <c r="NT47" s="334"/>
      <c r="NU47" s="334"/>
      <c r="NV47" s="334"/>
      <c r="NW47" s="334"/>
      <c r="NX47" s="334"/>
      <c r="NY47" s="334"/>
      <c r="NZ47" s="334"/>
      <c r="OA47" s="334"/>
      <c r="OB47" s="334"/>
      <c r="OC47" s="334"/>
      <c r="OD47" s="334"/>
      <c r="OE47" s="334"/>
      <c r="OF47" s="334"/>
      <c r="OG47" s="334"/>
      <c r="OH47" s="334"/>
      <c r="OI47" s="334"/>
      <c r="OJ47" s="334"/>
      <c r="OK47" s="334"/>
      <c r="OL47" s="334"/>
      <c r="OM47" s="334"/>
      <c r="ON47" s="334"/>
      <c r="OO47" s="334"/>
      <c r="OP47" s="334"/>
      <c r="OQ47" s="334"/>
      <c r="OR47" s="334"/>
      <c r="OS47" s="334"/>
      <c r="OT47" s="334"/>
      <c r="OU47" s="334"/>
      <c r="OV47" s="334"/>
      <c r="OW47" s="334"/>
      <c r="OX47" s="334"/>
      <c r="OY47" s="334"/>
      <c r="OZ47" s="334"/>
      <c r="PA47" s="334"/>
      <c r="PB47" s="334"/>
      <c r="PC47" s="334"/>
      <c r="PD47" s="334"/>
      <c r="PE47" s="334"/>
      <c r="PF47" s="334"/>
      <c r="PG47" s="334"/>
      <c r="PH47" s="334"/>
      <c r="PI47" s="334"/>
      <c r="PJ47" s="334"/>
      <c r="PK47" s="334"/>
      <c r="PL47" s="334"/>
      <c r="PM47" s="334"/>
      <c r="PN47" s="334"/>
      <c r="PO47" s="334"/>
      <c r="PP47" s="334"/>
      <c r="PQ47" s="334"/>
      <c r="PR47" s="334"/>
      <c r="PS47" s="334"/>
      <c r="PT47" s="334"/>
      <c r="PU47" s="334"/>
      <c r="PV47" s="334"/>
      <c r="PW47" s="334"/>
      <c r="PX47" s="334"/>
      <c r="PY47" s="334"/>
      <c r="PZ47" s="334"/>
      <c r="QA47" s="334"/>
      <c r="QB47" s="334"/>
      <c r="QC47" s="334"/>
      <c r="QD47" s="334"/>
      <c r="QE47" s="334"/>
      <c r="QF47" s="334"/>
      <c r="QG47" s="334"/>
      <c r="QH47" s="334"/>
      <c r="QI47" s="334"/>
      <c r="QJ47" s="334"/>
      <c r="QK47" s="334"/>
      <c r="QL47" s="334"/>
      <c r="QM47" s="334"/>
      <c r="QN47" s="334"/>
      <c r="QO47" s="334"/>
      <c r="QP47" s="334"/>
      <c r="QQ47" s="334"/>
      <c r="QR47" s="334"/>
      <c r="QS47" s="334"/>
      <c r="QT47" s="334"/>
      <c r="QU47" s="334"/>
      <c r="QV47" s="334"/>
      <c r="QW47" s="334"/>
      <c r="QX47" s="334"/>
      <c r="QY47" s="334"/>
      <c r="QZ47" s="334"/>
      <c r="RA47" s="334"/>
      <c r="RB47" s="334"/>
      <c r="RC47" s="334"/>
      <c r="RD47" s="334"/>
      <c r="RE47" s="334"/>
      <c r="RF47" s="334"/>
      <c r="RG47" s="334"/>
      <c r="RH47" s="334"/>
      <c r="RI47" s="334"/>
      <c r="RJ47" s="334"/>
      <c r="RK47" s="334"/>
      <c r="RL47" s="334"/>
      <c r="RM47" s="334"/>
      <c r="RN47" s="334"/>
      <c r="RO47" s="334"/>
      <c r="RP47" s="334"/>
      <c r="RQ47" s="334"/>
      <c r="RR47" s="334"/>
      <c r="RS47" s="334"/>
      <c r="RT47" s="334"/>
      <c r="RU47" s="334"/>
      <c r="RV47" s="334"/>
      <c r="RW47" s="334"/>
      <c r="RX47" s="334"/>
      <c r="RY47" s="334"/>
      <c r="RZ47" s="334"/>
      <c r="SA47" s="334"/>
      <c r="SB47" s="334"/>
      <c r="SC47" s="334"/>
      <c r="SD47" s="334"/>
      <c r="SE47" s="334"/>
      <c r="SF47" s="334"/>
      <c r="SG47" s="334"/>
      <c r="SH47" s="334"/>
      <c r="SI47" s="334"/>
      <c r="SJ47" s="334"/>
      <c r="SK47" s="334"/>
      <c r="SL47" s="334"/>
      <c r="SM47" s="334"/>
      <c r="SN47" s="334"/>
      <c r="SO47" s="334"/>
      <c r="SP47" s="334"/>
      <c r="SQ47" s="334"/>
      <c r="SR47" s="334"/>
      <c r="SS47" s="334"/>
      <c r="ST47" s="334"/>
      <c r="SU47" s="334"/>
      <c r="SV47" s="334"/>
      <c r="SW47" s="334"/>
      <c r="SX47" s="334"/>
      <c r="SY47" s="334"/>
      <c r="SZ47" s="334"/>
      <c r="TA47" s="334"/>
      <c r="TB47" s="334"/>
      <c r="TC47" s="334"/>
      <c r="TD47" s="334"/>
      <c r="TE47" s="334"/>
      <c r="TF47" s="334"/>
      <c r="TG47" s="334"/>
      <c r="TH47" s="334"/>
      <c r="TI47" s="334"/>
      <c r="TJ47" s="334"/>
      <c r="TK47" s="334"/>
      <c r="TL47" s="334"/>
      <c r="TM47" s="334"/>
      <c r="TN47" s="334"/>
      <c r="TO47" s="334"/>
      <c r="TP47" s="334"/>
      <c r="TQ47" s="334"/>
      <c r="TR47" s="334"/>
      <c r="TS47" s="334"/>
      <c r="TT47" s="334"/>
      <c r="TU47" s="334"/>
      <c r="TV47" s="334"/>
      <c r="TW47" s="334"/>
      <c r="TX47" s="334"/>
      <c r="TY47" s="334"/>
      <c r="TZ47" s="334"/>
      <c r="UA47" s="334"/>
      <c r="UB47" s="334"/>
      <c r="UC47" s="334"/>
      <c r="UD47" s="334"/>
      <c r="UE47" s="334"/>
      <c r="UF47" s="334"/>
      <c r="UG47" s="334"/>
      <c r="UH47" s="334"/>
      <c r="UI47" s="334"/>
      <c r="UJ47" s="334"/>
      <c r="UK47" s="334"/>
      <c r="UL47" s="334"/>
      <c r="UM47" s="334"/>
      <c r="UN47" s="334"/>
      <c r="UO47" s="334"/>
      <c r="UP47" s="334"/>
      <c r="UQ47" s="334"/>
      <c r="UR47" s="334"/>
      <c r="US47" s="334"/>
      <c r="UT47" s="334"/>
      <c r="UU47" s="334"/>
      <c r="UV47" s="334"/>
      <c r="UW47" s="334"/>
      <c r="UX47" s="334"/>
      <c r="UY47" s="334"/>
      <c r="UZ47" s="334"/>
      <c r="VA47" s="334"/>
      <c r="VB47" s="334"/>
      <c r="VC47" s="334"/>
      <c r="VD47" s="334"/>
      <c r="VE47" s="334"/>
      <c r="VF47" s="334"/>
      <c r="VG47" s="334"/>
      <c r="VH47" s="334"/>
      <c r="VI47" s="334"/>
      <c r="VJ47" s="334"/>
      <c r="VK47" s="334"/>
      <c r="VL47" s="334"/>
      <c r="VM47" s="334"/>
      <c r="VN47" s="334"/>
      <c r="VO47" s="334"/>
      <c r="VP47" s="334"/>
      <c r="VQ47" s="334"/>
      <c r="VR47" s="334"/>
      <c r="VS47" s="334"/>
      <c r="VT47" s="334"/>
      <c r="VU47" s="334"/>
      <c r="VV47" s="334"/>
      <c r="VW47" s="334"/>
      <c r="VX47" s="334"/>
      <c r="VY47" s="334"/>
      <c r="VZ47" s="334"/>
      <c r="WA47" s="334"/>
      <c r="WB47" s="334"/>
      <c r="WC47" s="334"/>
      <c r="WD47" s="334"/>
      <c r="WE47" s="334"/>
      <c r="WF47" s="334"/>
      <c r="WG47" s="334"/>
      <c r="WH47" s="334"/>
      <c r="WI47" s="334"/>
      <c r="WJ47" s="334"/>
      <c r="WK47" s="334"/>
      <c r="WL47" s="334"/>
      <c r="WM47" s="334"/>
      <c r="WN47" s="334"/>
      <c r="WO47" s="334"/>
      <c r="WP47" s="334"/>
      <c r="WQ47" s="334"/>
      <c r="WR47" s="334"/>
      <c r="WS47" s="334"/>
      <c r="WT47" s="334"/>
      <c r="WU47" s="334"/>
      <c r="WV47" s="334"/>
      <c r="WW47" s="334"/>
      <c r="WX47" s="334"/>
      <c r="WY47" s="334"/>
      <c r="WZ47" s="334"/>
      <c r="XA47" s="334"/>
      <c r="XB47" s="334"/>
      <c r="XC47" s="334"/>
      <c r="XD47" s="334"/>
      <c r="XE47" s="334"/>
      <c r="XF47" s="334"/>
      <c r="XG47" s="334"/>
      <c r="XH47" s="334"/>
      <c r="XI47" s="334"/>
      <c r="XJ47" s="334"/>
      <c r="XK47" s="334"/>
      <c r="XL47" s="334"/>
      <c r="XM47" s="334"/>
      <c r="XN47" s="334"/>
      <c r="XO47" s="334"/>
      <c r="XP47" s="334"/>
      <c r="XQ47" s="334"/>
      <c r="XR47" s="334"/>
      <c r="XS47" s="334"/>
      <c r="XT47" s="334"/>
      <c r="XU47" s="334"/>
      <c r="XV47" s="334"/>
      <c r="XW47" s="334"/>
      <c r="XX47" s="334"/>
      <c r="XY47" s="334"/>
      <c r="XZ47" s="334"/>
      <c r="YA47" s="334"/>
      <c r="YB47" s="334"/>
      <c r="YC47" s="334"/>
      <c r="YD47" s="334"/>
      <c r="YE47" s="334"/>
      <c r="YF47" s="334"/>
      <c r="YG47" s="334"/>
      <c r="YH47" s="334"/>
      <c r="YI47" s="334"/>
      <c r="YJ47" s="334"/>
      <c r="YK47" s="334"/>
      <c r="YL47" s="334"/>
      <c r="YM47" s="334"/>
      <c r="YN47" s="334"/>
      <c r="YO47" s="334"/>
      <c r="YP47" s="334"/>
      <c r="YQ47" s="334"/>
      <c r="YR47" s="334"/>
      <c r="YS47" s="334"/>
      <c r="YT47" s="334"/>
      <c r="YU47" s="334"/>
      <c r="YV47" s="334"/>
      <c r="YW47" s="334"/>
      <c r="YX47" s="334"/>
      <c r="YY47" s="334"/>
      <c r="YZ47" s="334"/>
      <c r="ZA47" s="334"/>
      <c r="ZB47" s="334"/>
      <c r="ZC47" s="334"/>
      <c r="ZD47" s="334"/>
      <c r="ZE47" s="334"/>
      <c r="ZF47" s="334"/>
      <c r="ZG47" s="334"/>
      <c r="ZH47" s="334"/>
      <c r="ZI47" s="334"/>
      <c r="ZJ47" s="334"/>
      <c r="ZK47" s="334"/>
      <c r="ZL47" s="334"/>
      <c r="ZM47" s="334"/>
      <c r="ZN47" s="334"/>
      <c r="ZO47" s="334"/>
      <c r="ZP47" s="334"/>
      <c r="ZQ47" s="334"/>
      <c r="ZR47" s="334"/>
      <c r="ZS47" s="334"/>
      <c r="ZT47" s="334"/>
      <c r="ZU47" s="334"/>
      <c r="ZV47" s="334"/>
      <c r="ZW47" s="334"/>
      <c r="ZX47" s="334"/>
      <c r="ZY47" s="334"/>
      <c r="ZZ47" s="334"/>
      <c r="AAA47" s="334"/>
      <c r="AAB47" s="334"/>
      <c r="AAC47" s="334"/>
      <c r="AAD47" s="334"/>
      <c r="AAE47" s="334"/>
      <c r="AAF47" s="334"/>
      <c r="AAG47" s="334"/>
      <c r="AAH47" s="334"/>
      <c r="AAI47" s="334"/>
      <c r="AAJ47" s="334"/>
      <c r="AAK47" s="334"/>
      <c r="AAL47" s="334"/>
      <c r="AAM47" s="334"/>
      <c r="AAN47" s="334"/>
      <c r="AAO47" s="334"/>
      <c r="AAP47" s="334"/>
      <c r="AAQ47" s="334"/>
      <c r="AAR47" s="334"/>
      <c r="AAS47" s="334"/>
      <c r="AAT47" s="334"/>
      <c r="AAU47" s="334"/>
      <c r="AAV47" s="334"/>
      <c r="AAW47" s="334"/>
      <c r="AAX47" s="334"/>
      <c r="AAY47" s="334"/>
      <c r="AAZ47" s="334"/>
      <c r="ABA47" s="334"/>
      <c r="ABB47" s="334"/>
      <c r="ABC47" s="334"/>
      <c r="ABD47" s="334"/>
      <c r="ABE47" s="334"/>
      <c r="ABF47" s="334"/>
      <c r="ABG47" s="334"/>
      <c r="ABH47" s="334"/>
      <c r="ABI47" s="334"/>
      <c r="ABJ47" s="334"/>
      <c r="ABK47" s="334"/>
      <c r="ABL47" s="334"/>
      <c r="ABM47" s="334"/>
      <c r="ABN47" s="334"/>
      <c r="ABO47" s="334"/>
      <c r="ABP47" s="334"/>
      <c r="ABQ47" s="334"/>
      <c r="ABR47" s="334"/>
      <c r="ABS47" s="334"/>
      <c r="ABT47" s="334"/>
      <c r="ABU47" s="334"/>
      <c r="ABV47" s="334"/>
      <c r="ABW47" s="334"/>
      <c r="ABX47" s="334"/>
      <c r="ABY47" s="334"/>
      <c r="ABZ47" s="334"/>
      <c r="ACA47" s="334"/>
      <c r="ACB47" s="334"/>
      <c r="ACC47" s="334"/>
      <c r="ACD47" s="334"/>
      <c r="ACE47" s="334"/>
      <c r="ACF47" s="334"/>
      <c r="ACG47" s="334"/>
      <c r="ACH47" s="334"/>
      <c r="ACI47" s="334"/>
      <c r="ACJ47" s="334"/>
      <c r="ACK47" s="334"/>
      <c r="ACL47" s="334"/>
      <c r="ACM47" s="334"/>
      <c r="ACN47" s="334"/>
      <c r="ACO47" s="334"/>
      <c r="ACP47" s="334"/>
      <c r="ACQ47" s="334"/>
      <c r="ACR47" s="334"/>
      <c r="ACS47" s="334"/>
      <c r="ACT47" s="334"/>
      <c r="ACU47" s="334"/>
      <c r="ACV47" s="334"/>
      <c r="ACW47" s="334"/>
      <c r="ACX47" s="334"/>
      <c r="ACY47" s="334"/>
      <c r="ACZ47" s="334"/>
      <c r="ADA47" s="334"/>
      <c r="ADB47" s="334"/>
      <c r="ADC47" s="334"/>
      <c r="ADD47" s="334"/>
      <c r="ADE47" s="334"/>
      <c r="ADF47" s="334"/>
      <c r="ADG47" s="334"/>
      <c r="ADH47" s="334"/>
      <c r="ADI47" s="334"/>
      <c r="ADJ47" s="334"/>
      <c r="ADK47" s="334"/>
      <c r="ADL47" s="334"/>
      <c r="ADM47" s="334"/>
      <c r="ADN47" s="334"/>
      <c r="ADO47" s="334"/>
      <c r="ADP47" s="334"/>
      <c r="ADQ47" s="334"/>
      <c r="ADR47" s="334"/>
      <c r="ADS47" s="334"/>
      <c r="ADT47" s="334"/>
      <c r="ADU47" s="334"/>
      <c r="ADV47" s="334"/>
      <c r="ADW47" s="334"/>
      <c r="ADX47" s="334"/>
      <c r="ADY47" s="334"/>
      <c r="ADZ47" s="334"/>
      <c r="AEA47" s="334"/>
      <c r="AEB47" s="334"/>
      <c r="AEC47" s="334"/>
      <c r="AED47" s="334"/>
      <c r="AEE47" s="334"/>
      <c r="AEF47" s="334"/>
      <c r="AEG47" s="334"/>
      <c r="AEH47" s="334"/>
      <c r="AEI47" s="334"/>
      <c r="AEJ47" s="334"/>
      <c r="AEK47" s="334"/>
      <c r="AEL47" s="334"/>
      <c r="AEM47" s="334"/>
      <c r="AEN47" s="334"/>
      <c r="AEO47" s="334"/>
      <c r="AEP47" s="334"/>
      <c r="AEQ47" s="334"/>
      <c r="AER47" s="334"/>
      <c r="AES47" s="334"/>
      <c r="AET47" s="334"/>
      <c r="AEU47" s="334"/>
      <c r="AEV47" s="334"/>
      <c r="AEW47" s="334"/>
      <c r="AEX47" s="334"/>
      <c r="AEY47" s="334"/>
      <c r="AEZ47" s="334"/>
      <c r="AFA47" s="334"/>
      <c r="AFB47" s="334"/>
      <c r="AFC47" s="334"/>
      <c r="AFD47" s="334"/>
      <c r="AFE47" s="334"/>
      <c r="AFF47" s="334"/>
      <c r="AFG47" s="334"/>
      <c r="AFH47" s="334"/>
      <c r="AFI47" s="334"/>
      <c r="AFJ47" s="334"/>
      <c r="AFK47" s="334"/>
      <c r="AFL47" s="334"/>
      <c r="AFM47" s="334"/>
      <c r="AFN47" s="334"/>
      <c r="AFO47" s="334"/>
      <c r="AFP47" s="334"/>
      <c r="AFQ47" s="334"/>
      <c r="AFR47" s="334"/>
      <c r="AFS47" s="334"/>
      <c r="AFT47" s="334"/>
      <c r="AFU47" s="334"/>
      <c r="AFV47" s="334"/>
      <c r="AFW47" s="334"/>
      <c r="AFX47" s="334"/>
      <c r="AFY47" s="334"/>
      <c r="AFZ47" s="334"/>
      <c r="AGA47" s="334"/>
      <c r="AGB47" s="334"/>
      <c r="AGC47" s="334"/>
      <c r="AGD47" s="334"/>
      <c r="AGE47" s="334"/>
      <c r="AGF47" s="334"/>
      <c r="AGG47" s="334"/>
      <c r="AGH47" s="334"/>
      <c r="AGI47" s="334"/>
      <c r="AGJ47" s="334"/>
      <c r="AGK47" s="334"/>
      <c r="AGL47" s="334"/>
      <c r="AGM47" s="334"/>
      <c r="AGN47" s="334"/>
      <c r="AGO47" s="334"/>
      <c r="AGP47" s="334"/>
      <c r="AGQ47" s="334"/>
      <c r="AGR47" s="334"/>
      <c r="AGS47" s="334"/>
      <c r="AGT47" s="334"/>
      <c r="AGU47" s="334"/>
      <c r="AGV47" s="334"/>
      <c r="AGW47" s="334"/>
      <c r="AGX47" s="334"/>
      <c r="AGY47" s="334"/>
      <c r="AGZ47" s="334"/>
      <c r="AHA47" s="334"/>
      <c r="AHB47" s="334"/>
      <c r="AHC47" s="334"/>
      <c r="AHD47" s="334"/>
      <c r="AHE47" s="334"/>
      <c r="AHF47" s="334"/>
      <c r="AHG47" s="334"/>
      <c r="AHH47" s="334"/>
      <c r="AHI47" s="334"/>
      <c r="AHJ47" s="334"/>
      <c r="AHK47" s="334"/>
      <c r="AHL47" s="334"/>
      <c r="AHM47" s="334"/>
      <c r="AHN47" s="334"/>
      <c r="AHO47" s="334"/>
      <c r="AHP47" s="334"/>
      <c r="AHQ47" s="334"/>
      <c r="AHR47" s="334"/>
      <c r="AHS47" s="334"/>
      <c r="AHT47" s="334"/>
      <c r="AHU47" s="334"/>
      <c r="AHV47" s="334"/>
      <c r="AHW47" s="334"/>
      <c r="AHX47" s="334"/>
      <c r="AHY47" s="334"/>
      <c r="AHZ47" s="334"/>
      <c r="AIA47" s="334"/>
      <c r="AIB47" s="334"/>
      <c r="AIC47" s="334"/>
      <c r="AID47" s="334"/>
      <c r="AIE47" s="334"/>
      <c r="AIF47" s="334"/>
      <c r="AIG47" s="334"/>
      <c r="AIH47" s="334"/>
      <c r="AII47" s="334"/>
      <c r="AIJ47" s="334"/>
      <c r="AIK47" s="334"/>
      <c r="AIL47" s="334"/>
      <c r="AIM47" s="334"/>
      <c r="AIN47" s="334"/>
      <c r="AIO47" s="334"/>
      <c r="AIP47" s="334"/>
      <c r="AIQ47" s="334"/>
      <c r="AIR47" s="334"/>
      <c r="AIS47" s="334"/>
      <c r="AIT47" s="334"/>
      <c r="AIU47" s="334"/>
      <c r="AIV47" s="334"/>
      <c r="AIW47" s="334"/>
      <c r="AIX47" s="334"/>
      <c r="AIY47" s="334"/>
      <c r="AIZ47" s="334"/>
      <c r="AJA47" s="334"/>
      <c r="AJB47" s="334"/>
      <c r="AJC47" s="334"/>
      <c r="AJD47" s="334"/>
      <c r="AJE47" s="334"/>
      <c r="AJF47" s="334"/>
      <c r="AJG47" s="334"/>
      <c r="AJH47" s="334"/>
      <c r="AJI47" s="334"/>
      <c r="AJJ47" s="334"/>
      <c r="AJK47" s="334"/>
      <c r="AJL47" s="334"/>
      <c r="AJM47" s="334"/>
      <c r="AJN47" s="334"/>
      <c r="AJO47" s="334"/>
      <c r="AJP47" s="334"/>
      <c r="AJQ47" s="334"/>
      <c r="AJR47" s="334"/>
      <c r="AJS47" s="334"/>
      <c r="AJT47" s="334"/>
      <c r="AJU47" s="334"/>
      <c r="AJV47" s="334"/>
      <c r="AJW47" s="334"/>
      <c r="AJX47" s="334"/>
      <c r="AJY47" s="334"/>
      <c r="AJZ47" s="334"/>
      <c r="AKA47" s="334"/>
      <c r="AKB47" s="334"/>
      <c r="AKC47" s="334"/>
      <c r="AKD47" s="334"/>
      <c r="AKE47" s="334"/>
      <c r="AKF47" s="334"/>
      <c r="AKG47" s="334"/>
      <c r="AKH47" s="334"/>
      <c r="AKI47" s="334"/>
      <c r="AKJ47" s="334"/>
      <c r="AKK47" s="334"/>
      <c r="AKL47" s="334"/>
      <c r="AKM47" s="334"/>
      <c r="AKN47" s="334"/>
      <c r="AKO47" s="334"/>
      <c r="AKP47" s="334"/>
      <c r="AKQ47" s="334"/>
      <c r="AKR47" s="334"/>
      <c r="AKS47" s="334"/>
      <c r="AKT47" s="334"/>
      <c r="AKU47" s="334"/>
      <c r="AKV47" s="334"/>
      <c r="AKW47" s="334"/>
      <c r="AKX47" s="334"/>
      <c r="AKY47" s="334"/>
      <c r="AKZ47" s="334"/>
      <c r="ALA47" s="334"/>
      <c r="ALB47" s="334"/>
      <c r="ALC47" s="334"/>
      <c r="ALD47" s="334"/>
      <c r="ALE47" s="334"/>
      <c r="ALF47" s="334"/>
      <c r="ALG47" s="334"/>
      <c r="ALH47" s="334"/>
      <c r="ALI47" s="334"/>
      <c r="ALJ47" s="334"/>
      <c r="ALK47" s="334"/>
      <c r="ALL47" s="334"/>
      <c r="ALM47" s="334"/>
      <c r="ALN47" s="334"/>
      <c r="ALO47" s="334"/>
      <c r="ALP47" s="334"/>
      <c r="ALQ47" s="334"/>
      <c r="ALR47" s="334"/>
      <c r="ALS47" s="334"/>
      <c r="ALT47" s="334"/>
      <c r="ALU47" s="334"/>
      <c r="ALV47" s="334"/>
      <c r="ALW47" s="334"/>
      <c r="ALX47" s="334"/>
      <c r="ALY47" s="334"/>
      <c r="ALZ47" s="334"/>
      <c r="AMA47" s="334"/>
      <c r="AMB47" s="334"/>
      <c r="AMC47" s="334"/>
      <c r="AMD47" s="334"/>
      <c r="AME47" s="334"/>
      <c r="AMF47" s="334"/>
      <c r="AMG47" s="334"/>
      <c r="AMH47" s="334"/>
      <c r="AMI47" s="334"/>
      <c r="AMJ47" s="334"/>
      <c r="AMK47" s="334"/>
      <c r="AML47" s="334"/>
      <c r="AMM47" s="334"/>
      <c r="AMN47" s="334"/>
      <c r="AMO47" s="334"/>
      <c r="AMP47" s="334"/>
      <c r="AMQ47" s="334"/>
      <c r="AMR47" s="334"/>
      <c r="AMS47" s="334"/>
      <c r="AMT47" s="334"/>
      <c r="AMU47" s="334"/>
      <c r="AMV47" s="334"/>
      <c r="AMW47" s="334"/>
      <c r="AMX47" s="334"/>
      <c r="AMY47" s="334"/>
      <c r="AMZ47" s="334"/>
    </row>
    <row r="48" spans="1:1040" s="333" customFormat="1" ht="13.2" x14ac:dyDescent="0.25">
      <c r="A48" s="334"/>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400"/>
      <c r="AA48" s="335"/>
      <c r="AB48" s="335"/>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334"/>
      <c r="ES48" s="334"/>
      <c r="ET48" s="334"/>
      <c r="EU48" s="334"/>
      <c r="EV48" s="334"/>
      <c r="EW48" s="334"/>
      <c r="EX48" s="334"/>
      <c r="EY48" s="334"/>
      <c r="EZ48" s="334"/>
      <c r="FA48" s="334"/>
      <c r="FB48" s="334"/>
      <c r="FC48" s="334"/>
      <c r="FD48" s="334"/>
      <c r="FE48" s="334"/>
      <c r="FF48" s="334"/>
      <c r="FG48" s="334"/>
      <c r="FH48" s="334"/>
      <c r="FI48" s="334"/>
      <c r="FJ48" s="334"/>
      <c r="FK48" s="334"/>
      <c r="FL48" s="334"/>
      <c r="FM48" s="334"/>
      <c r="FN48" s="334"/>
      <c r="FO48" s="334"/>
      <c r="FP48" s="334"/>
      <c r="FQ48" s="334"/>
      <c r="FR48" s="334"/>
      <c r="FS48" s="334"/>
      <c r="FT48" s="334"/>
      <c r="FU48" s="334"/>
      <c r="FV48" s="334"/>
      <c r="FW48" s="334"/>
      <c r="FX48" s="334"/>
      <c r="FY48" s="334"/>
      <c r="FZ48" s="334"/>
      <c r="GA48" s="334"/>
      <c r="GB48" s="334"/>
      <c r="GC48" s="334"/>
      <c r="GD48" s="334"/>
      <c r="GE48" s="334"/>
      <c r="GF48" s="334"/>
      <c r="GG48" s="334"/>
      <c r="GH48" s="334"/>
      <c r="GI48" s="334"/>
      <c r="GJ48" s="334"/>
      <c r="GK48" s="334"/>
      <c r="GL48" s="334"/>
      <c r="GM48" s="334"/>
      <c r="GN48" s="334"/>
      <c r="GO48" s="334"/>
      <c r="GP48" s="334"/>
      <c r="GQ48" s="334"/>
      <c r="GR48" s="334"/>
      <c r="GS48" s="334"/>
      <c r="GT48" s="334"/>
      <c r="GU48" s="334"/>
      <c r="GV48" s="334"/>
      <c r="GW48" s="334"/>
      <c r="GX48" s="334"/>
      <c r="GY48" s="334"/>
      <c r="GZ48" s="334"/>
      <c r="HA48" s="334"/>
      <c r="HB48" s="334"/>
      <c r="HC48" s="334"/>
      <c r="HD48" s="334"/>
      <c r="HE48" s="334"/>
      <c r="HF48" s="334"/>
      <c r="HG48" s="334"/>
      <c r="HH48" s="334"/>
      <c r="HI48" s="334"/>
      <c r="HJ48" s="334"/>
      <c r="HK48" s="334"/>
      <c r="HL48" s="334"/>
      <c r="HM48" s="334"/>
      <c r="HN48" s="334"/>
      <c r="HO48" s="334"/>
      <c r="HP48" s="334"/>
      <c r="HQ48" s="334"/>
      <c r="HR48" s="334"/>
      <c r="HS48" s="334"/>
      <c r="HT48" s="334"/>
      <c r="HU48" s="334"/>
      <c r="HV48" s="334"/>
      <c r="HW48" s="334"/>
      <c r="HX48" s="334"/>
      <c r="HY48" s="334"/>
      <c r="HZ48" s="334"/>
      <c r="IA48" s="334"/>
      <c r="IB48" s="334"/>
      <c r="IC48" s="334"/>
      <c r="ID48" s="334"/>
      <c r="IE48" s="334"/>
      <c r="IF48" s="334"/>
      <c r="IG48" s="334"/>
      <c r="IH48" s="334"/>
      <c r="II48" s="334"/>
      <c r="IJ48" s="334"/>
      <c r="IK48" s="334"/>
      <c r="IL48" s="334"/>
      <c r="IM48" s="334"/>
      <c r="IN48" s="334"/>
      <c r="IO48" s="334"/>
      <c r="IP48" s="334"/>
      <c r="IQ48" s="334"/>
      <c r="IR48" s="334"/>
      <c r="IS48" s="334"/>
      <c r="IT48" s="334"/>
      <c r="IU48" s="334"/>
      <c r="IV48" s="334"/>
      <c r="IW48" s="334"/>
      <c r="IX48" s="334"/>
      <c r="IY48" s="334"/>
      <c r="IZ48" s="334"/>
      <c r="JA48" s="334"/>
      <c r="JB48" s="334"/>
      <c r="JC48" s="334"/>
      <c r="JD48" s="334"/>
      <c r="JE48" s="334"/>
      <c r="JF48" s="334"/>
      <c r="JG48" s="334"/>
      <c r="JH48" s="334"/>
      <c r="JI48" s="334"/>
      <c r="JJ48" s="334"/>
      <c r="JK48" s="334"/>
      <c r="JL48" s="334"/>
      <c r="JM48" s="334"/>
      <c r="JN48" s="334"/>
      <c r="JO48" s="334"/>
      <c r="JP48" s="334"/>
      <c r="JQ48" s="334"/>
      <c r="JR48" s="334"/>
      <c r="JS48" s="334"/>
      <c r="JT48" s="334"/>
      <c r="JU48" s="334"/>
      <c r="JV48" s="334"/>
      <c r="JW48" s="334"/>
      <c r="JX48" s="334"/>
      <c r="JY48" s="334"/>
      <c r="JZ48" s="334"/>
      <c r="KA48" s="334"/>
      <c r="KB48" s="334"/>
      <c r="KC48" s="334"/>
      <c r="KD48" s="334"/>
      <c r="KE48" s="334"/>
      <c r="KF48" s="334"/>
      <c r="KG48" s="334"/>
      <c r="KH48" s="334"/>
      <c r="KI48" s="334"/>
      <c r="KJ48" s="334"/>
      <c r="KK48" s="334"/>
      <c r="KL48" s="334"/>
      <c r="KM48" s="334"/>
      <c r="KN48" s="334"/>
      <c r="KO48" s="334"/>
      <c r="KP48" s="334"/>
      <c r="KQ48" s="334"/>
      <c r="KR48" s="334"/>
      <c r="KS48" s="334"/>
      <c r="KT48" s="334"/>
      <c r="KU48" s="334"/>
      <c r="KV48" s="334"/>
      <c r="KW48" s="334"/>
      <c r="KX48" s="334"/>
      <c r="KY48" s="334"/>
      <c r="KZ48" s="334"/>
      <c r="LA48" s="334"/>
      <c r="LB48" s="334"/>
      <c r="LC48" s="334"/>
      <c r="LD48" s="334"/>
      <c r="LE48" s="334"/>
      <c r="LF48" s="334"/>
      <c r="LG48" s="334"/>
      <c r="LH48" s="334"/>
      <c r="LI48" s="334"/>
      <c r="LJ48" s="334"/>
      <c r="LK48" s="334"/>
      <c r="LL48" s="334"/>
      <c r="LM48" s="334"/>
      <c r="LN48" s="334"/>
      <c r="LO48" s="334"/>
      <c r="LP48" s="334"/>
      <c r="LQ48" s="334"/>
      <c r="LR48" s="334"/>
      <c r="LS48" s="334"/>
      <c r="LT48" s="334"/>
      <c r="LU48" s="334"/>
      <c r="LV48" s="334"/>
      <c r="LW48" s="334"/>
      <c r="LX48" s="334"/>
      <c r="LY48" s="334"/>
      <c r="LZ48" s="334"/>
      <c r="MA48" s="334"/>
      <c r="MB48" s="334"/>
      <c r="MC48" s="334"/>
      <c r="MD48" s="334"/>
      <c r="ME48" s="334"/>
      <c r="MF48" s="334"/>
      <c r="MG48" s="334"/>
      <c r="MH48" s="334"/>
      <c r="MI48" s="334"/>
      <c r="MJ48" s="334"/>
      <c r="MK48" s="334"/>
      <c r="ML48" s="334"/>
      <c r="MM48" s="334"/>
      <c r="MN48" s="334"/>
      <c r="MO48" s="334"/>
      <c r="MP48" s="334"/>
      <c r="MQ48" s="334"/>
      <c r="MR48" s="334"/>
      <c r="MS48" s="334"/>
      <c r="MT48" s="334"/>
      <c r="MU48" s="334"/>
      <c r="MV48" s="334"/>
      <c r="MW48" s="334"/>
      <c r="MX48" s="334"/>
      <c r="MY48" s="334"/>
      <c r="MZ48" s="334"/>
      <c r="NA48" s="334"/>
      <c r="NB48" s="334"/>
      <c r="NC48" s="334"/>
      <c r="ND48" s="334"/>
      <c r="NE48" s="334"/>
      <c r="NF48" s="334"/>
      <c r="NG48" s="334"/>
      <c r="NH48" s="334"/>
      <c r="NI48" s="334"/>
      <c r="NJ48" s="334"/>
      <c r="NK48" s="334"/>
      <c r="NL48" s="334"/>
      <c r="NM48" s="334"/>
      <c r="NN48" s="334"/>
      <c r="NO48" s="334"/>
      <c r="NP48" s="334"/>
      <c r="NQ48" s="334"/>
      <c r="NR48" s="334"/>
      <c r="NS48" s="334"/>
      <c r="NT48" s="334"/>
      <c r="NU48" s="334"/>
      <c r="NV48" s="334"/>
      <c r="NW48" s="334"/>
      <c r="NX48" s="334"/>
      <c r="NY48" s="334"/>
      <c r="NZ48" s="334"/>
      <c r="OA48" s="334"/>
      <c r="OB48" s="334"/>
      <c r="OC48" s="334"/>
      <c r="OD48" s="334"/>
      <c r="OE48" s="334"/>
      <c r="OF48" s="334"/>
      <c r="OG48" s="334"/>
      <c r="OH48" s="334"/>
      <c r="OI48" s="334"/>
      <c r="OJ48" s="334"/>
      <c r="OK48" s="334"/>
      <c r="OL48" s="334"/>
      <c r="OM48" s="334"/>
      <c r="ON48" s="334"/>
      <c r="OO48" s="334"/>
      <c r="OP48" s="334"/>
      <c r="OQ48" s="334"/>
      <c r="OR48" s="334"/>
      <c r="OS48" s="334"/>
      <c r="OT48" s="334"/>
      <c r="OU48" s="334"/>
      <c r="OV48" s="334"/>
      <c r="OW48" s="334"/>
      <c r="OX48" s="334"/>
      <c r="OY48" s="334"/>
      <c r="OZ48" s="334"/>
      <c r="PA48" s="334"/>
      <c r="PB48" s="334"/>
      <c r="PC48" s="334"/>
      <c r="PD48" s="334"/>
      <c r="PE48" s="334"/>
      <c r="PF48" s="334"/>
      <c r="PG48" s="334"/>
      <c r="PH48" s="334"/>
      <c r="PI48" s="334"/>
      <c r="PJ48" s="334"/>
      <c r="PK48" s="334"/>
      <c r="PL48" s="334"/>
      <c r="PM48" s="334"/>
      <c r="PN48" s="334"/>
      <c r="PO48" s="334"/>
      <c r="PP48" s="334"/>
      <c r="PQ48" s="334"/>
      <c r="PR48" s="334"/>
      <c r="PS48" s="334"/>
      <c r="PT48" s="334"/>
      <c r="PU48" s="334"/>
      <c r="PV48" s="334"/>
      <c r="PW48" s="334"/>
      <c r="PX48" s="334"/>
      <c r="PY48" s="334"/>
      <c r="PZ48" s="334"/>
      <c r="QA48" s="334"/>
      <c r="QB48" s="334"/>
      <c r="QC48" s="334"/>
      <c r="QD48" s="334"/>
      <c r="QE48" s="334"/>
      <c r="QF48" s="334"/>
      <c r="QG48" s="334"/>
      <c r="QH48" s="334"/>
      <c r="QI48" s="334"/>
      <c r="QJ48" s="334"/>
      <c r="QK48" s="334"/>
      <c r="QL48" s="334"/>
      <c r="QM48" s="334"/>
      <c r="QN48" s="334"/>
      <c r="QO48" s="334"/>
      <c r="QP48" s="334"/>
      <c r="QQ48" s="334"/>
      <c r="QR48" s="334"/>
      <c r="QS48" s="334"/>
      <c r="QT48" s="334"/>
      <c r="QU48" s="334"/>
      <c r="QV48" s="334"/>
      <c r="QW48" s="334"/>
      <c r="QX48" s="334"/>
      <c r="QY48" s="334"/>
      <c r="QZ48" s="334"/>
      <c r="RA48" s="334"/>
      <c r="RB48" s="334"/>
      <c r="RC48" s="334"/>
      <c r="RD48" s="334"/>
      <c r="RE48" s="334"/>
      <c r="RF48" s="334"/>
      <c r="RG48" s="334"/>
      <c r="RH48" s="334"/>
      <c r="RI48" s="334"/>
      <c r="RJ48" s="334"/>
      <c r="RK48" s="334"/>
      <c r="RL48" s="334"/>
      <c r="RM48" s="334"/>
      <c r="RN48" s="334"/>
      <c r="RO48" s="334"/>
      <c r="RP48" s="334"/>
      <c r="RQ48" s="334"/>
      <c r="RR48" s="334"/>
      <c r="RS48" s="334"/>
      <c r="RT48" s="334"/>
      <c r="RU48" s="334"/>
      <c r="RV48" s="334"/>
      <c r="RW48" s="334"/>
      <c r="RX48" s="334"/>
      <c r="RY48" s="334"/>
      <c r="RZ48" s="334"/>
      <c r="SA48" s="334"/>
      <c r="SB48" s="334"/>
      <c r="SC48" s="334"/>
      <c r="SD48" s="334"/>
      <c r="SE48" s="334"/>
      <c r="SF48" s="334"/>
      <c r="SG48" s="334"/>
      <c r="SH48" s="334"/>
      <c r="SI48" s="334"/>
      <c r="SJ48" s="334"/>
      <c r="SK48" s="334"/>
      <c r="SL48" s="334"/>
      <c r="SM48" s="334"/>
      <c r="SN48" s="334"/>
      <c r="SO48" s="334"/>
      <c r="SP48" s="334"/>
      <c r="SQ48" s="334"/>
      <c r="SR48" s="334"/>
      <c r="SS48" s="334"/>
      <c r="ST48" s="334"/>
      <c r="SU48" s="334"/>
      <c r="SV48" s="334"/>
      <c r="SW48" s="334"/>
      <c r="SX48" s="334"/>
      <c r="SY48" s="334"/>
      <c r="SZ48" s="334"/>
      <c r="TA48" s="334"/>
      <c r="TB48" s="334"/>
      <c r="TC48" s="334"/>
      <c r="TD48" s="334"/>
      <c r="TE48" s="334"/>
      <c r="TF48" s="334"/>
      <c r="TG48" s="334"/>
      <c r="TH48" s="334"/>
      <c r="TI48" s="334"/>
      <c r="TJ48" s="334"/>
      <c r="TK48" s="334"/>
      <c r="TL48" s="334"/>
      <c r="TM48" s="334"/>
      <c r="TN48" s="334"/>
      <c r="TO48" s="334"/>
      <c r="TP48" s="334"/>
      <c r="TQ48" s="334"/>
      <c r="TR48" s="334"/>
      <c r="TS48" s="334"/>
      <c r="TT48" s="334"/>
      <c r="TU48" s="334"/>
      <c r="TV48" s="334"/>
      <c r="TW48" s="334"/>
      <c r="TX48" s="334"/>
      <c r="TY48" s="334"/>
      <c r="TZ48" s="334"/>
      <c r="UA48" s="334"/>
      <c r="UB48" s="334"/>
      <c r="UC48" s="334"/>
      <c r="UD48" s="334"/>
      <c r="UE48" s="334"/>
      <c r="UF48" s="334"/>
      <c r="UG48" s="334"/>
      <c r="UH48" s="334"/>
      <c r="UI48" s="334"/>
      <c r="UJ48" s="334"/>
      <c r="UK48" s="334"/>
      <c r="UL48" s="334"/>
      <c r="UM48" s="334"/>
      <c r="UN48" s="334"/>
      <c r="UO48" s="334"/>
      <c r="UP48" s="334"/>
      <c r="UQ48" s="334"/>
      <c r="UR48" s="334"/>
      <c r="US48" s="334"/>
      <c r="UT48" s="334"/>
      <c r="UU48" s="334"/>
      <c r="UV48" s="334"/>
      <c r="UW48" s="334"/>
      <c r="UX48" s="334"/>
      <c r="UY48" s="334"/>
      <c r="UZ48" s="334"/>
      <c r="VA48" s="334"/>
      <c r="VB48" s="334"/>
      <c r="VC48" s="334"/>
      <c r="VD48" s="334"/>
      <c r="VE48" s="334"/>
      <c r="VF48" s="334"/>
      <c r="VG48" s="334"/>
      <c r="VH48" s="334"/>
      <c r="VI48" s="334"/>
      <c r="VJ48" s="334"/>
      <c r="VK48" s="334"/>
      <c r="VL48" s="334"/>
      <c r="VM48" s="334"/>
      <c r="VN48" s="334"/>
      <c r="VO48" s="334"/>
      <c r="VP48" s="334"/>
      <c r="VQ48" s="334"/>
      <c r="VR48" s="334"/>
      <c r="VS48" s="334"/>
      <c r="VT48" s="334"/>
      <c r="VU48" s="334"/>
      <c r="VV48" s="334"/>
      <c r="VW48" s="334"/>
      <c r="VX48" s="334"/>
      <c r="VY48" s="334"/>
      <c r="VZ48" s="334"/>
      <c r="WA48" s="334"/>
      <c r="WB48" s="334"/>
      <c r="WC48" s="334"/>
      <c r="WD48" s="334"/>
      <c r="WE48" s="334"/>
      <c r="WF48" s="334"/>
      <c r="WG48" s="334"/>
      <c r="WH48" s="334"/>
      <c r="WI48" s="334"/>
      <c r="WJ48" s="334"/>
      <c r="WK48" s="334"/>
      <c r="WL48" s="334"/>
      <c r="WM48" s="334"/>
      <c r="WN48" s="334"/>
      <c r="WO48" s="334"/>
      <c r="WP48" s="334"/>
      <c r="WQ48" s="334"/>
      <c r="WR48" s="334"/>
      <c r="WS48" s="334"/>
      <c r="WT48" s="334"/>
      <c r="WU48" s="334"/>
      <c r="WV48" s="334"/>
      <c r="WW48" s="334"/>
      <c r="WX48" s="334"/>
      <c r="WY48" s="334"/>
      <c r="WZ48" s="334"/>
      <c r="XA48" s="334"/>
      <c r="XB48" s="334"/>
      <c r="XC48" s="334"/>
      <c r="XD48" s="334"/>
      <c r="XE48" s="334"/>
      <c r="XF48" s="334"/>
      <c r="XG48" s="334"/>
      <c r="XH48" s="334"/>
      <c r="XI48" s="334"/>
      <c r="XJ48" s="334"/>
      <c r="XK48" s="334"/>
      <c r="XL48" s="334"/>
      <c r="XM48" s="334"/>
      <c r="XN48" s="334"/>
      <c r="XO48" s="334"/>
      <c r="XP48" s="334"/>
      <c r="XQ48" s="334"/>
      <c r="XR48" s="334"/>
      <c r="XS48" s="334"/>
      <c r="XT48" s="334"/>
      <c r="XU48" s="334"/>
      <c r="XV48" s="334"/>
      <c r="XW48" s="334"/>
      <c r="XX48" s="334"/>
      <c r="XY48" s="334"/>
      <c r="XZ48" s="334"/>
      <c r="YA48" s="334"/>
      <c r="YB48" s="334"/>
      <c r="YC48" s="334"/>
      <c r="YD48" s="334"/>
      <c r="YE48" s="334"/>
      <c r="YF48" s="334"/>
      <c r="YG48" s="334"/>
      <c r="YH48" s="334"/>
      <c r="YI48" s="334"/>
      <c r="YJ48" s="334"/>
      <c r="YK48" s="334"/>
      <c r="YL48" s="334"/>
      <c r="YM48" s="334"/>
      <c r="YN48" s="334"/>
      <c r="YO48" s="334"/>
      <c r="YP48" s="334"/>
      <c r="YQ48" s="334"/>
      <c r="YR48" s="334"/>
      <c r="YS48" s="334"/>
      <c r="YT48" s="334"/>
      <c r="YU48" s="334"/>
      <c r="YV48" s="334"/>
      <c r="YW48" s="334"/>
      <c r="YX48" s="334"/>
      <c r="YY48" s="334"/>
      <c r="YZ48" s="334"/>
      <c r="ZA48" s="334"/>
      <c r="ZB48" s="334"/>
      <c r="ZC48" s="334"/>
      <c r="ZD48" s="334"/>
      <c r="ZE48" s="334"/>
      <c r="ZF48" s="334"/>
      <c r="ZG48" s="334"/>
      <c r="ZH48" s="334"/>
      <c r="ZI48" s="334"/>
      <c r="ZJ48" s="334"/>
      <c r="ZK48" s="334"/>
      <c r="ZL48" s="334"/>
      <c r="ZM48" s="334"/>
      <c r="ZN48" s="334"/>
      <c r="ZO48" s="334"/>
      <c r="ZP48" s="334"/>
      <c r="ZQ48" s="334"/>
      <c r="ZR48" s="334"/>
      <c r="ZS48" s="334"/>
      <c r="ZT48" s="334"/>
      <c r="ZU48" s="334"/>
      <c r="ZV48" s="334"/>
      <c r="ZW48" s="334"/>
      <c r="ZX48" s="334"/>
      <c r="ZY48" s="334"/>
      <c r="ZZ48" s="334"/>
      <c r="AAA48" s="334"/>
      <c r="AAB48" s="334"/>
      <c r="AAC48" s="334"/>
      <c r="AAD48" s="334"/>
      <c r="AAE48" s="334"/>
      <c r="AAF48" s="334"/>
      <c r="AAG48" s="334"/>
      <c r="AAH48" s="334"/>
      <c r="AAI48" s="334"/>
      <c r="AAJ48" s="334"/>
      <c r="AAK48" s="334"/>
      <c r="AAL48" s="334"/>
      <c r="AAM48" s="334"/>
      <c r="AAN48" s="334"/>
      <c r="AAO48" s="334"/>
      <c r="AAP48" s="334"/>
      <c r="AAQ48" s="334"/>
      <c r="AAR48" s="334"/>
      <c r="AAS48" s="334"/>
      <c r="AAT48" s="334"/>
      <c r="AAU48" s="334"/>
      <c r="AAV48" s="334"/>
      <c r="AAW48" s="334"/>
      <c r="AAX48" s="334"/>
      <c r="AAY48" s="334"/>
      <c r="AAZ48" s="334"/>
      <c r="ABA48" s="334"/>
      <c r="ABB48" s="334"/>
      <c r="ABC48" s="334"/>
      <c r="ABD48" s="334"/>
      <c r="ABE48" s="334"/>
      <c r="ABF48" s="334"/>
      <c r="ABG48" s="334"/>
      <c r="ABH48" s="334"/>
      <c r="ABI48" s="334"/>
      <c r="ABJ48" s="334"/>
      <c r="ABK48" s="334"/>
      <c r="ABL48" s="334"/>
      <c r="ABM48" s="334"/>
      <c r="ABN48" s="334"/>
      <c r="ABO48" s="334"/>
      <c r="ABP48" s="334"/>
      <c r="ABQ48" s="334"/>
      <c r="ABR48" s="334"/>
      <c r="ABS48" s="334"/>
      <c r="ABT48" s="334"/>
      <c r="ABU48" s="334"/>
      <c r="ABV48" s="334"/>
      <c r="ABW48" s="334"/>
      <c r="ABX48" s="334"/>
      <c r="ABY48" s="334"/>
      <c r="ABZ48" s="334"/>
      <c r="ACA48" s="334"/>
      <c r="ACB48" s="334"/>
      <c r="ACC48" s="334"/>
      <c r="ACD48" s="334"/>
      <c r="ACE48" s="334"/>
      <c r="ACF48" s="334"/>
      <c r="ACG48" s="334"/>
      <c r="ACH48" s="334"/>
      <c r="ACI48" s="334"/>
      <c r="ACJ48" s="334"/>
      <c r="ACK48" s="334"/>
      <c r="ACL48" s="334"/>
      <c r="ACM48" s="334"/>
      <c r="ACN48" s="334"/>
      <c r="ACO48" s="334"/>
      <c r="ACP48" s="334"/>
      <c r="ACQ48" s="334"/>
      <c r="ACR48" s="334"/>
      <c r="ACS48" s="334"/>
      <c r="ACT48" s="334"/>
      <c r="ACU48" s="334"/>
      <c r="ACV48" s="334"/>
      <c r="ACW48" s="334"/>
      <c r="ACX48" s="334"/>
      <c r="ACY48" s="334"/>
      <c r="ACZ48" s="334"/>
      <c r="ADA48" s="334"/>
      <c r="ADB48" s="334"/>
      <c r="ADC48" s="334"/>
      <c r="ADD48" s="334"/>
      <c r="ADE48" s="334"/>
      <c r="ADF48" s="334"/>
      <c r="ADG48" s="334"/>
      <c r="ADH48" s="334"/>
      <c r="ADI48" s="334"/>
      <c r="ADJ48" s="334"/>
      <c r="ADK48" s="334"/>
      <c r="ADL48" s="334"/>
      <c r="ADM48" s="334"/>
      <c r="ADN48" s="334"/>
      <c r="ADO48" s="334"/>
      <c r="ADP48" s="334"/>
      <c r="ADQ48" s="334"/>
      <c r="ADR48" s="334"/>
      <c r="ADS48" s="334"/>
      <c r="ADT48" s="334"/>
      <c r="ADU48" s="334"/>
      <c r="ADV48" s="334"/>
      <c r="ADW48" s="334"/>
      <c r="ADX48" s="334"/>
      <c r="ADY48" s="334"/>
      <c r="ADZ48" s="334"/>
      <c r="AEA48" s="334"/>
      <c r="AEB48" s="334"/>
      <c r="AEC48" s="334"/>
      <c r="AED48" s="334"/>
      <c r="AEE48" s="334"/>
      <c r="AEF48" s="334"/>
      <c r="AEG48" s="334"/>
      <c r="AEH48" s="334"/>
      <c r="AEI48" s="334"/>
      <c r="AEJ48" s="334"/>
      <c r="AEK48" s="334"/>
      <c r="AEL48" s="334"/>
      <c r="AEM48" s="334"/>
      <c r="AEN48" s="334"/>
      <c r="AEO48" s="334"/>
      <c r="AEP48" s="334"/>
      <c r="AEQ48" s="334"/>
      <c r="AER48" s="334"/>
      <c r="AES48" s="334"/>
      <c r="AET48" s="334"/>
      <c r="AEU48" s="334"/>
      <c r="AEV48" s="334"/>
      <c r="AEW48" s="334"/>
      <c r="AEX48" s="334"/>
      <c r="AEY48" s="334"/>
      <c r="AEZ48" s="334"/>
      <c r="AFA48" s="334"/>
      <c r="AFB48" s="334"/>
      <c r="AFC48" s="334"/>
      <c r="AFD48" s="334"/>
      <c r="AFE48" s="334"/>
      <c r="AFF48" s="334"/>
      <c r="AFG48" s="334"/>
      <c r="AFH48" s="334"/>
      <c r="AFI48" s="334"/>
      <c r="AFJ48" s="334"/>
      <c r="AFK48" s="334"/>
      <c r="AFL48" s="334"/>
      <c r="AFM48" s="334"/>
      <c r="AFN48" s="334"/>
      <c r="AFO48" s="334"/>
      <c r="AFP48" s="334"/>
      <c r="AFQ48" s="334"/>
      <c r="AFR48" s="334"/>
      <c r="AFS48" s="334"/>
      <c r="AFT48" s="334"/>
      <c r="AFU48" s="334"/>
      <c r="AFV48" s="334"/>
      <c r="AFW48" s="334"/>
      <c r="AFX48" s="334"/>
      <c r="AFY48" s="334"/>
      <c r="AFZ48" s="334"/>
      <c r="AGA48" s="334"/>
      <c r="AGB48" s="334"/>
      <c r="AGC48" s="334"/>
      <c r="AGD48" s="334"/>
      <c r="AGE48" s="334"/>
      <c r="AGF48" s="334"/>
      <c r="AGG48" s="334"/>
      <c r="AGH48" s="334"/>
      <c r="AGI48" s="334"/>
      <c r="AGJ48" s="334"/>
      <c r="AGK48" s="334"/>
      <c r="AGL48" s="334"/>
      <c r="AGM48" s="334"/>
      <c r="AGN48" s="334"/>
      <c r="AGO48" s="334"/>
      <c r="AGP48" s="334"/>
      <c r="AGQ48" s="334"/>
      <c r="AGR48" s="334"/>
      <c r="AGS48" s="334"/>
      <c r="AGT48" s="334"/>
      <c r="AGU48" s="334"/>
      <c r="AGV48" s="334"/>
      <c r="AGW48" s="334"/>
      <c r="AGX48" s="334"/>
      <c r="AGY48" s="334"/>
      <c r="AGZ48" s="334"/>
      <c r="AHA48" s="334"/>
      <c r="AHB48" s="334"/>
      <c r="AHC48" s="334"/>
      <c r="AHD48" s="334"/>
      <c r="AHE48" s="334"/>
      <c r="AHF48" s="334"/>
      <c r="AHG48" s="334"/>
      <c r="AHH48" s="334"/>
      <c r="AHI48" s="334"/>
      <c r="AHJ48" s="334"/>
      <c r="AHK48" s="334"/>
      <c r="AHL48" s="334"/>
      <c r="AHM48" s="334"/>
      <c r="AHN48" s="334"/>
      <c r="AHO48" s="334"/>
      <c r="AHP48" s="334"/>
      <c r="AHQ48" s="334"/>
      <c r="AHR48" s="334"/>
      <c r="AHS48" s="334"/>
      <c r="AHT48" s="334"/>
      <c r="AHU48" s="334"/>
      <c r="AHV48" s="334"/>
      <c r="AHW48" s="334"/>
      <c r="AHX48" s="334"/>
      <c r="AHY48" s="334"/>
      <c r="AHZ48" s="334"/>
      <c r="AIA48" s="334"/>
      <c r="AIB48" s="334"/>
      <c r="AIC48" s="334"/>
      <c r="AID48" s="334"/>
      <c r="AIE48" s="334"/>
      <c r="AIF48" s="334"/>
      <c r="AIG48" s="334"/>
      <c r="AIH48" s="334"/>
      <c r="AII48" s="334"/>
      <c r="AIJ48" s="334"/>
      <c r="AIK48" s="334"/>
      <c r="AIL48" s="334"/>
      <c r="AIM48" s="334"/>
      <c r="AIN48" s="334"/>
      <c r="AIO48" s="334"/>
      <c r="AIP48" s="334"/>
      <c r="AIQ48" s="334"/>
      <c r="AIR48" s="334"/>
      <c r="AIS48" s="334"/>
      <c r="AIT48" s="334"/>
      <c r="AIU48" s="334"/>
      <c r="AIV48" s="334"/>
      <c r="AIW48" s="334"/>
      <c r="AIX48" s="334"/>
      <c r="AIY48" s="334"/>
      <c r="AIZ48" s="334"/>
      <c r="AJA48" s="334"/>
      <c r="AJB48" s="334"/>
      <c r="AJC48" s="334"/>
      <c r="AJD48" s="334"/>
      <c r="AJE48" s="334"/>
      <c r="AJF48" s="334"/>
      <c r="AJG48" s="334"/>
      <c r="AJH48" s="334"/>
      <c r="AJI48" s="334"/>
      <c r="AJJ48" s="334"/>
      <c r="AJK48" s="334"/>
      <c r="AJL48" s="334"/>
      <c r="AJM48" s="334"/>
      <c r="AJN48" s="334"/>
      <c r="AJO48" s="334"/>
      <c r="AJP48" s="334"/>
      <c r="AJQ48" s="334"/>
      <c r="AJR48" s="334"/>
      <c r="AJS48" s="334"/>
      <c r="AJT48" s="334"/>
      <c r="AJU48" s="334"/>
      <c r="AJV48" s="334"/>
      <c r="AJW48" s="334"/>
      <c r="AJX48" s="334"/>
      <c r="AJY48" s="334"/>
      <c r="AJZ48" s="334"/>
      <c r="AKA48" s="334"/>
      <c r="AKB48" s="334"/>
      <c r="AKC48" s="334"/>
      <c r="AKD48" s="334"/>
      <c r="AKE48" s="334"/>
      <c r="AKF48" s="334"/>
      <c r="AKG48" s="334"/>
      <c r="AKH48" s="334"/>
      <c r="AKI48" s="334"/>
      <c r="AKJ48" s="334"/>
      <c r="AKK48" s="334"/>
      <c r="AKL48" s="334"/>
      <c r="AKM48" s="334"/>
      <c r="AKN48" s="334"/>
      <c r="AKO48" s="334"/>
      <c r="AKP48" s="334"/>
      <c r="AKQ48" s="334"/>
      <c r="AKR48" s="334"/>
      <c r="AKS48" s="334"/>
      <c r="AKT48" s="334"/>
      <c r="AKU48" s="334"/>
      <c r="AKV48" s="334"/>
      <c r="AKW48" s="334"/>
      <c r="AKX48" s="334"/>
      <c r="AKY48" s="334"/>
      <c r="AKZ48" s="334"/>
      <c r="ALA48" s="334"/>
      <c r="ALB48" s="334"/>
      <c r="ALC48" s="334"/>
      <c r="ALD48" s="334"/>
      <c r="ALE48" s="334"/>
      <c r="ALF48" s="334"/>
      <c r="ALG48" s="334"/>
      <c r="ALH48" s="334"/>
      <c r="ALI48" s="334"/>
      <c r="ALJ48" s="334"/>
      <c r="ALK48" s="334"/>
      <c r="ALL48" s="334"/>
      <c r="ALM48" s="334"/>
      <c r="ALN48" s="334"/>
      <c r="ALO48" s="334"/>
      <c r="ALP48" s="334"/>
      <c r="ALQ48" s="334"/>
      <c r="ALR48" s="334"/>
      <c r="ALS48" s="334"/>
      <c r="ALT48" s="334"/>
      <c r="ALU48" s="334"/>
      <c r="ALV48" s="334"/>
      <c r="ALW48" s="334"/>
      <c r="ALX48" s="334"/>
      <c r="ALY48" s="334"/>
      <c r="ALZ48" s="334"/>
      <c r="AMA48" s="334"/>
      <c r="AMB48" s="334"/>
      <c r="AMC48" s="334"/>
      <c r="AMD48" s="334"/>
      <c r="AME48" s="334"/>
      <c r="AMF48" s="334"/>
      <c r="AMG48" s="334"/>
      <c r="AMH48" s="334"/>
      <c r="AMI48" s="334"/>
      <c r="AMJ48" s="334"/>
      <c r="AMK48" s="334"/>
      <c r="AML48" s="334"/>
      <c r="AMM48" s="334"/>
      <c r="AMN48" s="334"/>
      <c r="AMO48" s="334"/>
      <c r="AMP48" s="334"/>
      <c r="AMQ48" s="334"/>
      <c r="AMR48" s="334"/>
      <c r="AMS48" s="334"/>
      <c r="AMT48" s="334"/>
      <c r="AMU48" s="334"/>
      <c r="AMV48" s="334"/>
      <c r="AMW48" s="334"/>
      <c r="AMX48" s="334"/>
      <c r="AMY48" s="334"/>
      <c r="AMZ48" s="334"/>
    </row>
    <row r="49" spans="3:28" ht="26.25" customHeight="1" x14ac:dyDescent="0.25">
      <c r="C49" s="334"/>
      <c r="K49" s="334"/>
      <c r="L49" s="334"/>
      <c r="O49" s="334"/>
      <c r="AA49" s="688"/>
      <c r="AB49" s="688"/>
    </row>
    <row r="50" spans="3:28" x14ac:dyDescent="0.25">
      <c r="C50" s="334"/>
      <c r="K50" s="334"/>
      <c r="L50" s="334"/>
      <c r="AA50" s="399"/>
      <c r="AB50" s="399"/>
    </row>
    <row r="51" spans="3:28" x14ac:dyDescent="0.25">
      <c r="C51" s="334"/>
      <c r="D51" s="337"/>
      <c r="K51" s="334"/>
      <c r="L51" s="334"/>
      <c r="M51" s="231"/>
      <c r="N51" s="231"/>
      <c r="O51" s="334"/>
      <c r="Q51" s="337"/>
      <c r="Z51" s="334"/>
      <c r="AA51" s="334"/>
    </row>
    <row r="52" spans="3:28" x14ac:dyDescent="0.25">
      <c r="C52" s="334"/>
      <c r="D52" s="337"/>
      <c r="K52" s="334"/>
      <c r="L52" s="334"/>
      <c r="M52" s="231"/>
      <c r="N52" s="231"/>
      <c r="O52" s="334"/>
      <c r="Q52" s="337"/>
      <c r="Z52" s="334"/>
      <c r="AA52" s="334"/>
    </row>
    <row r="53" spans="3:28" x14ac:dyDescent="0.25">
      <c r="L53" s="334"/>
    </row>
  </sheetData>
  <mergeCells count="11">
    <mergeCell ref="AA49:AB49"/>
    <mergeCell ref="D1:I1"/>
    <mergeCell ref="D2:I2"/>
    <mergeCell ref="A3:B3"/>
    <mergeCell ref="A4:B4"/>
    <mergeCell ref="Q1:X1"/>
    <mergeCell ref="W2:X2"/>
    <mergeCell ref="M3:N3"/>
    <mergeCell ref="M4:N4"/>
    <mergeCell ref="AA25:AB25"/>
    <mergeCell ref="Q2:V2"/>
  </mergeCells>
  <conditionalFormatting sqref="Z49 AB51:AB52 Z53:Z1048576">
    <cfRule type="cellIs" priority="9" stopIfTrue="1" operator="equal">
      <formula>"OK"</formula>
    </cfRule>
  </conditionalFormatting>
  <printOptions horizontalCentered="1" headings="1"/>
  <pageMargins left="0.3543307086614173" right="0.3543307086614173" top="0.86574803149606305" bottom="0.6393700787401575" header="0.47204724409448823" footer="0.15748031496062992"/>
  <pageSetup paperSize="9" fitToWidth="0" fitToHeight="0" orientation="landscape" r:id="rId1"/>
  <headerFooter alignWithMargins="0">
    <oddFooter>&amp;L&amp;"Calibri,Regular"&amp;K000000&amp;F/&amp;A&amp;R&amp;"Calibri,Regular"&amp;K000000Date d'impression : &amp;D
Page &amp;P sur &amp;N</oddFooter>
  </headerFooter>
  <extLst>
    <ext xmlns:x14="http://schemas.microsoft.com/office/spreadsheetml/2009/9/main" uri="{78C0D931-6437-407d-A8EE-F0AAD7539E65}">
      <x14:conditionalFormattings>
        <x14:conditionalFormatting xmlns:xm="http://schemas.microsoft.com/office/excel/2006/main">
          <x14:cfRule type="expression" priority="8" id="{17ADEB11-C294-467C-955B-29380C462877}">
            <xm:f>'F0 - Données générales'!$H$5&lt;&gt;"horaire"</xm:f>
            <x14:dxf>
              <fill>
                <patternFill patternType="darkGray">
                  <bgColor theme="0" tint="-0.499984740745262"/>
                </patternFill>
              </fill>
            </x14:dxf>
          </x14:cfRule>
          <xm:sqref>A3:J20</xm:sqref>
        </x14:conditionalFormatting>
        <x14:conditionalFormatting xmlns:xm="http://schemas.microsoft.com/office/excel/2006/main">
          <x14:cfRule type="expression" priority="2" id="{B9164850-688E-4687-BACC-D697A7599704}">
            <xm:f>'F0 - Données générales'!$H$5&lt;&gt;"journalier"</xm:f>
            <x14:dxf>
              <fill>
                <patternFill patternType="darkGray">
                  <bgColor theme="0" tint="-0.499984740745262"/>
                </patternFill>
              </fill>
            </x14:dxf>
          </x14:cfRule>
          <xm:sqref>M3:Y20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AK42"/>
  <sheetViews>
    <sheetView zoomScale="85" zoomScaleNormal="85" zoomScalePageLayoutView="70" workbookViewId="0">
      <selection activeCell="G5" sqref="G5"/>
    </sheetView>
  </sheetViews>
  <sheetFormatPr defaultColWidth="11.44140625" defaultRowHeight="14.4" x14ac:dyDescent="0.3"/>
  <cols>
    <col min="1" max="3" width="23.44140625" customWidth="1"/>
    <col min="4" max="5" width="34.88671875" customWidth="1"/>
    <col min="6" max="17" width="18.88671875" customWidth="1"/>
    <col min="18" max="18" width="11.44140625" customWidth="1"/>
    <col min="21" max="21" width="13.6640625" customWidth="1"/>
    <col min="22" max="22" width="15.33203125" customWidth="1"/>
    <col min="23" max="35" width="12.33203125" customWidth="1"/>
    <col min="36" max="36" width="12.109375" customWidth="1"/>
  </cols>
  <sheetData>
    <row r="1" spans="1:36" x14ac:dyDescent="0.3">
      <c r="A1" s="1" t="s">
        <v>758</v>
      </c>
      <c r="U1" s="79"/>
    </row>
    <row r="2" spans="1:36" x14ac:dyDescent="0.3">
      <c r="B2" s="1"/>
      <c r="C2" s="1"/>
      <c r="D2" s="3"/>
      <c r="E2" s="3"/>
      <c r="F2" s="4"/>
      <c r="G2" s="709" t="s">
        <v>8</v>
      </c>
      <c r="H2" s="710"/>
      <c r="I2" s="710"/>
      <c r="J2" s="710"/>
      <c r="K2" s="710"/>
      <c r="L2" s="370" t="s">
        <v>9</v>
      </c>
      <c r="M2" s="371"/>
      <c r="N2" s="371"/>
      <c r="O2" s="371"/>
      <c r="P2" s="372"/>
      <c r="U2" s="79"/>
      <c r="X2" t="s">
        <v>198</v>
      </c>
    </row>
    <row r="3" spans="1:36" ht="39" customHeight="1" x14ac:dyDescent="0.3">
      <c r="A3" s="5"/>
      <c r="B3" s="5"/>
      <c r="C3" s="5"/>
      <c r="D3" s="715" t="s">
        <v>10</v>
      </c>
      <c r="E3" s="716"/>
      <c r="F3" s="719" t="s">
        <v>11</v>
      </c>
      <c r="G3" s="698" t="s">
        <v>349</v>
      </c>
      <c r="H3" s="698" t="s">
        <v>12</v>
      </c>
      <c r="I3" s="700" t="s">
        <v>13</v>
      </c>
      <c r="J3" s="713"/>
      <c r="K3" s="700"/>
      <c r="L3" s="713" t="s">
        <v>349</v>
      </c>
      <c r="M3" s="713" t="s">
        <v>12</v>
      </c>
      <c r="N3" s="713" t="s">
        <v>13</v>
      </c>
      <c r="O3" s="698"/>
      <c r="P3" s="700"/>
      <c r="U3" s="79"/>
      <c r="V3" s="266" t="s">
        <v>197</v>
      </c>
      <c r="W3" s="331" t="s">
        <v>256</v>
      </c>
      <c r="X3" s="331">
        <v>7</v>
      </c>
      <c r="Y3" s="331" t="s">
        <v>17</v>
      </c>
      <c r="Z3" s="331" t="s">
        <v>19</v>
      </c>
      <c r="AA3" s="331" t="s">
        <v>21</v>
      </c>
      <c r="AB3" s="331" t="s">
        <v>23</v>
      </c>
      <c r="AC3" s="331">
        <v>11</v>
      </c>
      <c r="AD3" s="331">
        <v>14</v>
      </c>
      <c r="AE3" s="331" t="s">
        <v>294</v>
      </c>
      <c r="AF3" s="331" t="s">
        <v>295</v>
      </c>
      <c r="AG3" s="331" t="s">
        <v>178</v>
      </c>
      <c r="AH3" s="331" t="s">
        <v>179</v>
      </c>
      <c r="AI3" s="331" t="s">
        <v>180</v>
      </c>
      <c r="AJ3" s="86" t="s">
        <v>444</v>
      </c>
    </row>
    <row r="4" spans="1:36" ht="39" customHeight="1" x14ac:dyDescent="0.3">
      <c r="A4" s="3"/>
      <c r="B4" s="3"/>
      <c r="C4" s="3"/>
      <c r="D4" s="717"/>
      <c r="E4" s="718"/>
      <c r="F4" s="719"/>
      <c r="G4" s="699"/>
      <c r="H4" s="699"/>
      <c r="I4" s="700"/>
      <c r="J4" s="698"/>
      <c r="K4" s="698"/>
      <c r="L4" s="714"/>
      <c r="M4" s="714"/>
      <c r="N4" s="714"/>
      <c r="O4" s="699"/>
      <c r="P4" s="698"/>
      <c r="U4" s="79"/>
      <c r="V4" s="86">
        <v>7</v>
      </c>
      <c r="W4" s="277">
        <v>8.6701999999999995</v>
      </c>
      <c r="X4" s="271">
        <f>IF($W4="","",$W4/$W$4)</f>
        <v>1</v>
      </c>
      <c r="Y4" s="87">
        <f>IF($W4="","",$W4/$W$5)</f>
        <v>0.6284210831497159</v>
      </c>
      <c r="Z4" s="87">
        <f>IF($W4="","",$W4/$W$6)</f>
        <v>0.65629139574139528</v>
      </c>
      <c r="AA4" s="87">
        <f>IF($W4="","",$W4/$W$7)</f>
        <v>0.54383510948584612</v>
      </c>
      <c r="AB4" s="87">
        <f>IF($W4="","",$W4/$W$8)</f>
        <v>0.99084602813617817</v>
      </c>
      <c r="AC4" s="87">
        <f t="shared" ref="AC4:AC10" si="0">IF($W4="","",$W4/$W$9)</f>
        <v>1.2308456722647321</v>
      </c>
      <c r="AD4" s="87">
        <f>IF($W4="","",$W4/$W$10)</f>
        <v>1.1648171534513798</v>
      </c>
      <c r="AE4" s="88"/>
      <c r="AF4" s="88"/>
      <c r="AG4" s="88"/>
      <c r="AH4" s="88"/>
      <c r="AI4" s="88"/>
      <c r="AJ4" s="88"/>
    </row>
    <row r="5" spans="1:36" ht="24.75" customHeight="1" x14ac:dyDescent="0.3">
      <c r="A5" s="724" t="s">
        <v>14</v>
      </c>
      <c r="B5" s="724"/>
      <c r="C5" s="724"/>
      <c r="D5" s="721" t="s">
        <v>15</v>
      </c>
      <c r="E5" s="722"/>
      <c r="F5" s="42">
        <v>7</v>
      </c>
      <c r="G5" s="127"/>
      <c r="H5" s="128"/>
      <c r="I5" s="44">
        <f>SUM(G5:H5)</f>
        <v>0</v>
      </c>
      <c r="J5" s="663"/>
      <c r="K5" s="664"/>
      <c r="L5" s="157"/>
      <c r="M5" s="157"/>
      <c r="N5" s="44">
        <f>SUM(L5:M5)</f>
        <v>0</v>
      </c>
      <c r="O5" s="663"/>
      <c r="P5" s="664"/>
      <c r="R5" s="253"/>
      <c r="U5" s="79"/>
      <c r="V5" s="86" t="s">
        <v>17</v>
      </c>
      <c r="W5" s="277">
        <v>13.796799999999999</v>
      </c>
      <c r="X5" s="87">
        <f t="shared" ref="X5:X10" si="1">IF($W5="","",$W5/$W$4)</f>
        <v>1.5912897049664367</v>
      </c>
      <c r="Y5" s="271">
        <f t="shared" ref="Y5:Y10" si="2">IF($W5="","",$W5/$W$5)</f>
        <v>1</v>
      </c>
      <c r="Z5" s="87">
        <f t="shared" ref="Z5:Z10" si="3">IF($W5="","",$W5/$W$6)</f>
        <v>1.0443497415013359</v>
      </c>
      <c r="AA5" s="87">
        <f t="shared" ref="AA5:AA10" si="4">IF($W5="","",$W5/$W$7)</f>
        <v>0.86539921092412198</v>
      </c>
      <c r="AB5" s="87">
        <f t="shared" ref="AB5:AB10" si="5">IF($W5="","",$W5/$W$8)</f>
        <v>1.5767230837799848</v>
      </c>
      <c r="AC5" s="87">
        <f t="shared" si="0"/>
        <v>1.958632046677361</v>
      </c>
      <c r="AD5" s="87">
        <f t="shared" ref="AD5:AD10" si="6">IF($W5="","",$W5/$W$10)</f>
        <v>1.8535615444554907</v>
      </c>
      <c r="AE5" s="88"/>
      <c r="AF5" s="88"/>
      <c r="AG5" s="88"/>
      <c r="AH5" s="88"/>
      <c r="AI5" s="88"/>
      <c r="AJ5" s="88"/>
    </row>
    <row r="6" spans="1:36" ht="24.75" customHeight="1" x14ac:dyDescent="0.3">
      <c r="A6" s="724"/>
      <c r="B6" s="724"/>
      <c r="C6" s="724"/>
      <c r="D6" s="721" t="s">
        <v>16</v>
      </c>
      <c r="E6" s="722"/>
      <c r="F6" s="42" t="s">
        <v>17</v>
      </c>
      <c r="G6" s="127"/>
      <c r="H6" s="128"/>
      <c r="I6" s="44">
        <f t="shared" ref="I6:I23" si="7">SUM(G6:H6)</f>
        <v>0</v>
      </c>
      <c r="J6" s="663"/>
      <c r="K6" s="664"/>
      <c r="L6" s="157"/>
      <c r="M6" s="157"/>
      <c r="N6" s="44">
        <f t="shared" ref="N6:N23" si="8">SUM(L6:M6)</f>
        <v>0</v>
      </c>
      <c r="O6" s="663"/>
      <c r="P6" s="664"/>
      <c r="R6" s="253"/>
      <c r="U6" s="79"/>
      <c r="V6" s="86" t="s">
        <v>19</v>
      </c>
      <c r="W6" s="277">
        <v>13.210900000000001</v>
      </c>
      <c r="X6" s="87">
        <f t="shared" si="1"/>
        <v>1.523713409148578</v>
      </c>
      <c r="Y6" s="87">
        <f t="shared" si="2"/>
        <v>0.95753363098689559</v>
      </c>
      <c r="Z6" s="271">
        <f t="shared" si="3"/>
        <v>1</v>
      </c>
      <c r="AA6" s="87">
        <f t="shared" si="4"/>
        <v>0.82864884868936883</v>
      </c>
      <c r="AB6" s="87">
        <f t="shared" si="5"/>
        <v>1.509765379472704</v>
      </c>
      <c r="AC6" s="87">
        <f t="shared" si="0"/>
        <v>1.8754560554222683</v>
      </c>
      <c r="AD6" s="87">
        <f t="shared" si="6"/>
        <v>1.7748475159201442</v>
      </c>
      <c r="AE6" s="88"/>
      <c r="AF6" s="88"/>
      <c r="AG6" s="88"/>
      <c r="AH6" s="88"/>
      <c r="AI6" s="88"/>
      <c r="AJ6" s="88"/>
    </row>
    <row r="7" spans="1:36" ht="24.75" customHeight="1" x14ac:dyDescent="0.3">
      <c r="A7" s="724"/>
      <c r="B7" s="724"/>
      <c r="C7" s="724"/>
      <c r="D7" s="721" t="s">
        <v>18</v>
      </c>
      <c r="E7" s="722"/>
      <c r="F7" s="42" t="s">
        <v>19</v>
      </c>
      <c r="G7" s="127"/>
      <c r="H7" s="128"/>
      <c r="I7" s="44">
        <f t="shared" si="7"/>
        <v>0</v>
      </c>
      <c r="J7" s="663"/>
      <c r="K7" s="664"/>
      <c r="L7" s="157"/>
      <c r="M7" s="157"/>
      <c r="N7" s="44">
        <f t="shared" si="8"/>
        <v>0</v>
      </c>
      <c r="O7" s="663"/>
      <c r="P7" s="664"/>
      <c r="R7" s="253"/>
      <c r="U7" s="79"/>
      <c r="V7" s="86" t="s">
        <v>21</v>
      </c>
      <c r="W7" s="277">
        <v>15.9427</v>
      </c>
      <c r="X7" s="87">
        <f t="shared" si="1"/>
        <v>1.8387926460750619</v>
      </c>
      <c r="Y7" s="87">
        <f t="shared" si="2"/>
        <v>1.1555360663342225</v>
      </c>
      <c r="Z7" s="87">
        <f t="shared" si="3"/>
        <v>1.2067837921716158</v>
      </c>
      <c r="AA7" s="271">
        <f t="shared" si="4"/>
        <v>1</v>
      </c>
      <c r="AB7" s="87">
        <f t="shared" si="5"/>
        <v>1.8219603899294883</v>
      </c>
      <c r="AC7" s="87">
        <f t="shared" si="0"/>
        <v>2.2632699706137052</v>
      </c>
      <c r="AD7" s="87">
        <f t="shared" si="6"/>
        <v>2.1418572157884839</v>
      </c>
      <c r="AE7" s="88"/>
      <c r="AF7" s="88"/>
      <c r="AG7" s="88"/>
      <c r="AH7" s="88"/>
      <c r="AI7" s="88"/>
      <c r="AJ7" s="88"/>
    </row>
    <row r="8" spans="1:36" ht="24.75" customHeight="1" x14ac:dyDescent="0.3">
      <c r="A8" s="724"/>
      <c r="B8" s="724"/>
      <c r="C8" s="724"/>
      <c r="D8" s="721" t="s">
        <v>20</v>
      </c>
      <c r="E8" s="722"/>
      <c r="F8" s="42" t="s">
        <v>21</v>
      </c>
      <c r="G8" s="127"/>
      <c r="H8" s="128"/>
      <c r="I8" s="44">
        <f>SUM(G8:H8)</f>
        <v>0</v>
      </c>
      <c r="J8" s="663"/>
      <c r="K8" s="664"/>
      <c r="L8" s="157"/>
      <c r="M8" s="157"/>
      <c r="N8" s="44">
        <f t="shared" si="8"/>
        <v>0</v>
      </c>
      <c r="O8" s="663"/>
      <c r="P8" s="664"/>
      <c r="R8" s="253"/>
      <c r="U8" s="79"/>
      <c r="V8" s="86" t="s">
        <v>23</v>
      </c>
      <c r="W8" s="277">
        <v>8.7502999999999993</v>
      </c>
      <c r="X8" s="87">
        <f t="shared" si="1"/>
        <v>1.0092385412101219</v>
      </c>
      <c r="Y8" s="87">
        <f t="shared" si="2"/>
        <v>0.63422677722370402</v>
      </c>
      <c r="Z8" s="87">
        <f t="shared" si="3"/>
        <v>0.66235457084680072</v>
      </c>
      <c r="AA8" s="87">
        <f t="shared" si="4"/>
        <v>0.54885935255634233</v>
      </c>
      <c r="AB8" s="271">
        <f t="shared" si="5"/>
        <v>1</v>
      </c>
      <c r="AC8" s="87">
        <f t="shared" si="0"/>
        <v>1.2422168907312501</v>
      </c>
      <c r="AD8" s="87">
        <f t="shared" si="6"/>
        <v>1.1755783647257974</v>
      </c>
      <c r="AE8" s="88"/>
      <c r="AF8" s="88"/>
      <c r="AG8" s="88"/>
      <c r="AH8" s="88"/>
      <c r="AI8" s="88"/>
      <c r="AJ8" s="88"/>
    </row>
    <row r="9" spans="1:36" ht="24.75" customHeight="1" x14ac:dyDescent="0.3">
      <c r="A9" s="720" t="s">
        <v>307</v>
      </c>
      <c r="B9" s="720"/>
      <c r="C9" s="720"/>
      <c r="D9" s="721" t="s">
        <v>22</v>
      </c>
      <c r="E9" s="722"/>
      <c r="F9" s="42" t="s">
        <v>23</v>
      </c>
      <c r="G9" s="127"/>
      <c r="H9" s="128"/>
      <c r="I9" s="44">
        <f t="shared" si="7"/>
        <v>0</v>
      </c>
      <c r="J9" s="663"/>
      <c r="K9" s="664"/>
      <c r="L9" s="157"/>
      <c r="M9" s="157"/>
      <c r="N9" s="44">
        <f t="shared" si="8"/>
        <v>0</v>
      </c>
      <c r="O9" s="663"/>
      <c r="P9" s="664"/>
      <c r="R9" s="253"/>
      <c r="U9" s="79"/>
      <c r="V9" s="86">
        <v>11</v>
      </c>
      <c r="W9" s="277">
        <v>7.0441000000000003</v>
      </c>
      <c r="X9" s="87">
        <f t="shared" si="1"/>
        <v>0.8124495398030035</v>
      </c>
      <c r="Y9" s="87">
        <f t="shared" si="2"/>
        <v>0.51056041980749167</v>
      </c>
      <c r="Z9" s="87">
        <f t="shared" si="3"/>
        <v>0.53320364244676743</v>
      </c>
      <c r="AA9" s="87">
        <f t="shared" si="4"/>
        <v>0.44183858443049173</v>
      </c>
      <c r="AB9" s="87">
        <f t="shared" si="5"/>
        <v>0.80501239957487181</v>
      </c>
      <c r="AC9" s="271">
        <f t="shared" si="0"/>
        <v>1</v>
      </c>
      <c r="AD9" s="87">
        <f t="shared" si="6"/>
        <v>0.94635516027621791</v>
      </c>
      <c r="AE9" s="88"/>
      <c r="AF9" s="88"/>
      <c r="AG9" s="88"/>
      <c r="AH9" s="88"/>
      <c r="AI9" s="88"/>
      <c r="AJ9" s="88"/>
    </row>
    <row r="10" spans="1:36" ht="24.75" customHeight="1" x14ac:dyDescent="0.3">
      <c r="A10" s="723" t="s">
        <v>24</v>
      </c>
      <c r="B10" s="723"/>
      <c r="C10" s="723"/>
      <c r="D10" s="721" t="s">
        <v>25</v>
      </c>
      <c r="E10" s="722"/>
      <c r="F10" s="42" t="s">
        <v>26</v>
      </c>
      <c r="G10" s="127"/>
      <c r="H10" s="128"/>
      <c r="I10" s="44">
        <f t="shared" si="7"/>
        <v>0</v>
      </c>
      <c r="J10" s="663"/>
      <c r="K10" s="664"/>
      <c r="L10" s="157"/>
      <c r="M10" s="157"/>
      <c r="N10" s="44">
        <f t="shared" si="8"/>
        <v>0</v>
      </c>
      <c r="O10" s="663"/>
      <c r="P10" s="664"/>
      <c r="R10" s="253"/>
      <c r="U10" s="79"/>
      <c r="V10" s="86">
        <v>14</v>
      </c>
      <c r="W10" s="277">
        <v>7.4433999999999996</v>
      </c>
      <c r="X10" s="87">
        <f t="shared" si="1"/>
        <v>0.85850384074185138</v>
      </c>
      <c r="Y10" s="87">
        <f t="shared" si="2"/>
        <v>0.53950191348718546</v>
      </c>
      <c r="Z10" s="87">
        <f t="shared" si="3"/>
        <v>0.56342868388981815</v>
      </c>
      <c r="AA10" s="87">
        <f t="shared" si="4"/>
        <v>0.46688453022386417</v>
      </c>
      <c r="AB10" s="87">
        <f t="shared" si="5"/>
        <v>0.85064512073871756</v>
      </c>
      <c r="AC10" s="87">
        <f t="shared" si="0"/>
        <v>1.0566857369997587</v>
      </c>
      <c r="AD10" s="271">
        <f t="shared" si="6"/>
        <v>1</v>
      </c>
      <c r="AE10" s="88"/>
      <c r="AF10" s="88"/>
      <c r="AG10" s="88"/>
      <c r="AH10" s="88"/>
      <c r="AI10" s="88"/>
      <c r="AJ10" s="88"/>
    </row>
    <row r="11" spans="1:36" ht="24.75" customHeight="1" x14ac:dyDescent="0.3">
      <c r="A11" s="723"/>
      <c r="B11" s="723"/>
      <c r="C11" s="723"/>
      <c r="D11" s="721" t="s">
        <v>27</v>
      </c>
      <c r="E11" s="722"/>
      <c r="F11" s="42" t="s">
        <v>28</v>
      </c>
      <c r="G11" s="127"/>
      <c r="H11" s="128"/>
      <c r="I11" s="44">
        <f t="shared" si="7"/>
        <v>0</v>
      </c>
      <c r="J11" s="663"/>
      <c r="K11" s="664"/>
      <c r="L11" s="157"/>
      <c r="M11" s="157"/>
      <c r="N11" s="44">
        <f t="shared" si="8"/>
        <v>0</v>
      </c>
      <c r="O11" s="663"/>
      <c r="P11" s="664"/>
      <c r="R11" s="253"/>
      <c r="U11" s="79"/>
      <c r="V11" s="86" t="s">
        <v>294</v>
      </c>
      <c r="W11" s="277">
        <v>34.821399999999997</v>
      </c>
      <c r="X11" s="88"/>
      <c r="Y11" s="88"/>
      <c r="Z11" s="88"/>
      <c r="AA11" s="88"/>
      <c r="AB11" s="88"/>
      <c r="AC11" s="88"/>
      <c r="AD11" s="88"/>
      <c r="AE11" s="271">
        <f t="shared" ref="AE11:AE16" si="9">IF($W11="","",$W11/$W$11)</f>
        <v>1</v>
      </c>
      <c r="AF11" s="87">
        <f t="shared" ref="AF11:AF16" si="10">IF($W11="","",$W11/$W$12)</f>
        <v>0.88907215441964971</v>
      </c>
      <c r="AG11" s="87">
        <f t="shared" ref="AG11:AG16" si="11">IF($W11="","",$W11/$W$13)</f>
        <v>0.62598581611282389</v>
      </c>
      <c r="AH11" s="87">
        <f t="shared" ref="AH11:AH16" si="12">IF($W11="","",$W11/$W$14)</f>
        <v>0.79333913542725121</v>
      </c>
      <c r="AI11" s="87">
        <f t="shared" ref="AI11:AI16" si="13">IF($W11="","",$W11/$W$15)</f>
        <v>0.64818730780399536</v>
      </c>
      <c r="AJ11" s="87">
        <f t="shared" ref="AJ11:AJ16" si="14">IF($W11="","",$W11/$W$16)</f>
        <v>0.6309516259669099</v>
      </c>
    </row>
    <row r="12" spans="1:36" ht="24.75" customHeight="1" x14ac:dyDescent="0.3">
      <c r="A12" s="723"/>
      <c r="B12" s="723"/>
      <c r="C12" s="723"/>
      <c r="D12" s="721" t="s">
        <v>29</v>
      </c>
      <c r="E12" s="722"/>
      <c r="F12" s="42" t="s">
        <v>30</v>
      </c>
      <c r="G12" s="127"/>
      <c r="H12" s="128"/>
      <c r="I12" s="44">
        <f t="shared" si="7"/>
        <v>0</v>
      </c>
      <c r="J12" s="663"/>
      <c r="K12" s="664"/>
      <c r="L12" s="157"/>
      <c r="M12" s="157"/>
      <c r="N12" s="44">
        <f t="shared" si="8"/>
        <v>0</v>
      </c>
      <c r="O12" s="663"/>
      <c r="P12" s="664"/>
      <c r="R12" s="253"/>
      <c r="U12" s="79"/>
      <c r="V12" s="86" t="s">
        <v>295</v>
      </c>
      <c r="W12" s="277">
        <v>39.165999999999997</v>
      </c>
      <c r="X12" s="88"/>
      <c r="Y12" s="88"/>
      <c r="Z12" s="88"/>
      <c r="AA12" s="88"/>
      <c r="AB12" s="88"/>
      <c r="AC12" s="88"/>
      <c r="AD12" s="88"/>
      <c r="AE12" s="87">
        <f t="shared" si="9"/>
        <v>1.1247681023738276</v>
      </c>
      <c r="AF12" s="271">
        <f t="shared" si="10"/>
        <v>1</v>
      </c>
      <c r="AG12" s="87">
        <f t="shared" si="11"/>
        <v>0.70408887850215274</v>
      </c>
      <c r="AH12" s="87">
        <f t="shared" si="12"/>
        <v>0.89232255389340231</v>
      </c>
      <c r="AI12" s="87">
        <f t="shared" si="13"/>
        <v>0.72906040818149997</v>
      </c>
      <c r="AJ12" s="87">
        <f t="shared" si="14"/>
        <v>0.70967426302848224</v>
      </c>
    </row>
    <row r="13" spans="1:36" ht="24.75" customHeight="1" x14ac:dyDescent="0.3">
      <c r="A13" s="723"/>
      <c r="B13" s="723"/>
      <c r="C13" s="723"/>
      <c r="D13" s="721" t="s">
        <v>31</v>
      </c>
      <c r="E13" s="722"/>
      <c r="F13" s="42" t="s">
        <v>32</v>
      </c>
      <c r="G13" s="127"/>
      <c r="H13" s="128"/>
      <c r="I13" s="44">
        <f t="shared" si="7"/>
        <v>0</v>
      </c>
      <c r="J13" s="663"/>
      <c r="K13" s="664"/>
      <c r="L13" s="157"/>
      <c r="M13" s="157"/>
      <c r="N13" s="44">
        <f t="shared" si="8"/>
        <v>0</v>
      </c>
      <c r="O13" s="663"/>
      <c r="P13" s="664"/>
      <c r="R13" s="253"/>
      <c r="U13" s="79"/>
      <c r="V13" s="86" t="s">
        <v>178</v>
      </c>
      <c r="W13" s="277">
        <v>55.6265</v>
      </c>
      <c r="X13" s="88"/>
      <c r="Y13" s="88"/>
      <c r="Z13" s="88"/>
      <c r="AA13" s="88"/>
      <c r="AB13" s="88"/>
      <c r="AC13" s="88"/>
      <c r="AD13" s="88"/>
      <c r="AE13" s="87">
        <f t="shared" si="9"/>
        <v>1.5974802851120289</v>
      </c>
      <c r="AF13" s="87">
        <f t="shared" si="10"/>
        <v>1.4202752387274677</v>
      </c>
      <c r="AG13" s="271">
        <f t="shared" si="11"/>
        <v>1</v>
      </c>
      <c r="AH13" s="87">
        <f>IF($W13="","",$W13/$W$14)</f>
        <v>1.2673436282528558</v>
      </c>
      <c r="AI13" s="87">
        <f t="shared" si="13"/>
        <v>1.035466445276725</v>
      </c>
      <c r="AJ13" s="87">
        <f t="shared" si="14"/>
        <v>1.0079327833415175</v>
      </c>
    </row>
    <row r="14" spans="1:36" ht="24.75" customHeight="1" x14ac:dyDescent="0.3">
      <c r="A14" s="723"/>
      <c r="B14" s="723"/>
      <c r="C14" s="723"/>
      <c r="D14" s="721" t="s">
        <v>33</v>
      </c>
      <c r="E14" s="722"/>
      <c r="F14" s="42" t="s">
        <v>34</v>
      </c>
      <c r="G14" s="127"/>
      <c r="H14" s="128"/>
      <c r="I14" s="44">
        <f t="shared" si="7"/>
        <v>0</v>
      </c>
      <c r="J14" s="663"/>
      <c r="K14" s="664"/>
      <c r="L14" s="157"/>
      <c r="M14" s="157"/>
      <c r="N14" s="44">
        <f t="shared" si="8"/>
        <v>0</v>
      </c>
      <c r="O14" s="663"/>
      <c r="P14" s="664"/>
      <c r="R14" s="253"/>
      <c r="U14" s="79"/>
      <c r="V14" s="86" t="s">
        <v>179</v>
      </c>
      <c r="W14" s="277">
        <v>43.892200000000003</v>
      </c>
      <c r="X14" s="88"/>
      <c r="Y14" s="88"/>
      <c r="Z14" s="88"/>
      <c r="AA14" s="88"/>
      <c r="AB14" s="88"/>
      <c r="AC14" s="88"/>
      <c r="AD14" s="88"/>
      <c r="AE14" s="87">
        <f t="shared" si="9"/>
        <v>1.2604949829702425</v>
      </c>
      <c r="AF14" s="87">
        <f t="shared" si="10"/>
        <v>1.1206709901445133</v>
      </c>
      <c r="AG14" s="87">
        <f t="shared" si="11"/>
        <v>0.78905198062074733</v>
      </c>
      <c r="AH14" s="271">
        <f t="shared" si="12"/>
        <v>1</v>
      </c>
      <c r="AI14" s="87">
        <f t="shared" si="13"/>
        <v>0.81703684951192457</v>
      </c>
      <c r="AJ14" s="87">
        <f t="shared" si="14"/>
        <v>0.79531135902820693</v>
      </c>
    </row>
    <row r="15" spans="1:36" ht="24.75" customHeight="1" x14ac:dyDescent="0.3">
      <c r="A15" s="723"/>
      <c r="B15" s="723"/>
      <c r="C15" s="723"/>
      <c r="D15" s="721" t="s">
        <v>35</v>
      </c>
      <c r="E15" s="722"/>
      <c r="F15" s="42" t="s">
        <v>36</v>
      </c>
      <c r="G15" s="127"/>
      <c r="H15" s="128"/>
      <c r="I15" s="44">
        <f t="shared" si="7"/>
        <v>0</v>
      </c>
      <c r="J15" s="663"/>
      <c r="K15" s="664"/>
      <c r="L15" s="157"/>
      <c r="M15" s="157"/>
      <c r="N15" s="44">
        <f t="shared" si="8"/>
        <v>0</v>
      </c>
      <c r="O15" s="663"/>
      <c r="P15" s="664"/>
      <c r="R15" s="253"/>
      <c r="U15" s="79"/>
      <c r="V15" s="86" t="s">
        <v>180</v>
      </c>
      <c r="W15" s="277">
        <v>53.721200000000003</v>
      </c>
      <c r="X15" s="88"/>
      <c r="Y15" s="88"/>
      <c r="Z15" s="88"/>
      <c r="AA15" s="88"/>
      <c r="AB15" s="88"/>
      <c r="AC15" s="88"/>
      <c r="AD15" s="88"/>
      <c r="AE15" s="87">
        <f t="shared" si="9"/>
        <v>1.5427639325242526</v>
      </c>
      <c r="AF15" s="87">
        <f t="shared" si="10"/>
        <v>1.3716284532502683</v>
      </c>
      <c r="AG15" s="87">
        <f t="shared" si="11"/>
        <v>0.96574833937062377</v>
      </c>
      <c r="AH15" s="87">
        <f t="shared" si="12"/>
        <v>1.2239350043971366</v>
      </c>
      <c r="AI15" s="271">
        <f t="shared" si="13"/>
        <v>1</v>
      </c>
      <c r="AJ15" s="87">
        <f t="shared" si="14"/>
        <v>0.97340941170928119</v>
      </c>
    </row>
    <row r="16" spans="1:36" ht="24.75" customHeight="1" x14ac:dyDescent="0.3">
      <c r="A16" s="723"/>
      <c r="B16" s="723"/>
      <c r="C16" s="723"/>
      <c r="D16" s="721" t="s">
        <v>37</v>
      </c>
      <c r="E16" s="722"/>
      <c r="F16" s="42" t="s">
        <v>38</v>
      </c>
      <c r="G16" s="127"/>
      <c r="H16" s="128"/>
      <c r="I16" s="44">
        <f t="shared" si="7"/>
        <v>0</v>
      </c>
      <c r="J16" s="663"/>
      <c r="K16" s="664"/>
      <c r="L16" s="157"/>
      <c r="M16" s="157"/>
      <c r="N16" s="44">
        <f t="shared" si="8"/>
        <v>0</v>
      </c>
      <c r="O16" s="663"/>
      <c r="P16" s="664"/>
      <c r="R16" s="253"/>
      <c r="U16" s="79"/>
      <c r="V16" s="86" t="s">
        <v>444</v>
      </c>
      <c r="W16" s="277">
        <v>55.188699999999997</v>
      </c>
      <c r="X16" s="88"/>
      <c r="Y16" s="88"/>
      <c r="Z16" s="88"/>
      <c r="AA16" s="88"/>
      <c r="AB16" s="88"/>
      <c r="AC16" s="88"/>
      <c r="AD16" s="88"/>
      <c r="AE16" s="87">
        <f t="shared" si="9"/>
        <v>1.5849075568472262</v>
      </c>
      <c r="AF16" s="87">
        <f t="shared" si="10"/>
        <v>1.4090971761221469</v>
      </c>
      <c r="AG16" s="87">
        <f t="shared" si="11"/>
        <v>0.99212965043639267</v>
      </c>
      <c r="AH16" s="87">
        <f t="shared" si="12"/>
        <v>1.2573691908812954</v>
      </c>
      <c r="AI16" s="87">
        <f t="shared" si="13"/>
        <v>1.0273169623910112</v>
      </c>
      <c r="AJ16" s="87">
        <f t="shared" si="14"/>
        <v>1</v>
      </c>
    </row>
    <row r="17" spans="1:36" ht="24.75" customHeight="1" x14ac:dyDescent="0.3">
      <c r="A17" s="723"/>
      <c r="B17" s="723"/>
      <c r="C17" s="723"/>
      <c r="D17" s="721" t="s">
        <v>306</v>
      </c>
      <c r="E17" s="722"/>
      <c r="F17" s="42" t="s">
        <v>39</v>
      </c>
      <c r="G17" s="127"/>
      <c r="H17" s="128"/>
      <c r="I17" s="44">
        <f t="shared" si="7"/>
        <v>0</v>
      </c>
      <c r="J17" s="663"/>
      <c r="K17" s="664"/>
      <c r="L17" s="157"/>
      <c r="M17" s="157"/>
      <c r="N17" s="44">
        <f t="shared" si="8"/>
        <v>0</v>
      </c>
      <c r="O17" s="663"/>
      <c r="P17" s="664"/>
      <c r="R17" s="253"/>
      <c r="U17" s="79"/>
    </row>
    <row r="18" spans="1:36" ht="24.75" customHeight="1" x14ac:dyDescent="0.3">
      <c r="A18" s="723"/>
      <c r="B18" s="723"/>
      <c r="C18" s="723"/>
      <c r="D18" s="721" t="s">
        <v>40</v>
      </c>
      <c r="E18" s="722"/>
      <c r="F18" s="42" t="s">
        <v>41</v>
      </c>
      <c r="G18" s="127"/>
      <c r="H18" s="128"/>
      <c r="I18" s="44">
        <f t="shared" si="7"/>
        <v>0</v>
      </c>
      <c r="J18" s="663"/>
      <c r="K18" s="664"/>
      <c r="L18" s="157"/>
      <c r="M18" s="157"/>
      <c r="N18" s="44">
        <f t="shared" si="8"/>
        <v>0</v>
      </c>
      <c r="O18" s="663"/>
      <c r="P18" s="664"/>
      <c r="R18" s="253"/>
      <c r="U18" s="79"/>
      <c r="W18" s="697" t="s">
        <v>196</v>
      </c>
      <c r="X18" s="697"/>
      <c r="Y18" s="697" t="s">
        <v>482</v>
      </c>
      <c r="Z18" s="697"/>
      <c r="AA18" s="697" t="s">
        <v>480</v>
      </c>
      <c r="AB18" s="697"/>
      <c r="AC18" s="697" t="s">
        <v>436</v>
      </c>
      <c r="AD18" s="697"/>
    </row>
    <row r="19" spans="1:36" ht="24.75" customHeight="1" x14ac:dyDescent="0.3">
      <c r="A19" s="723"/>
      <c r="B19" s="723"/>
      <c r="C19" s="723"/>
      <c r="D19" s="721" t="s">
        <v>42</v>
      </c>
      <c r="E19" s="722"/>
      <c r="F19" s="42" t="s">
        <v>43</v>
      </c>
      <c r="G19" s="127"/>
      <c r="H19" s="128"/>
      <c r="I19" s="44">
        <f t="shared" si="7"/>
        <v>0</v>
      </c>
      <c r="J19" s="663"/>
      <c r="K19" s="664"/>
      <c r="L19" s="157"/>
      <c r="M19" s="157"/>
      <c r="N19" s="44">
        <f t="shared" si="8"/>
        <v>0</v>
      </c>
      <c r="O19" s="663"/>
      <c r="P19" s="664"/>
      <c r="R19" s="253"/>
      <c r="U19" s="79"/>
      <c r="W19" s="697"/>
      <c r="X19" s="697"/>
      <c r="Y19" s="697"/>
      <c r="Z19" s="697"/>
      <c r="AA19" s="697"/>
      <c r="AB19" s="697"/>
      <c r="AC19" s="697"/>
      <c r="AD19" s="697"/>
      <c r="AJ19" t="s">
        <v>480</v>
      </c>
    </row>
    <row r="20" spans="1:36" ht="24.75" customHeight="1" x14ac:dyDescent="0.3">
      <c r="A20" s="726" t="s">
        <v>44</v>
      </c>
      <c r="B20" s="726"/>
      <c r="C20" s="726"/>
      <c r="D20" s="721" t="s">
        <v>45</v>
      </c>
      <c r="E20" s="722"/>
      <c r="F20" s="43" t="s">
        <v>46</v>
      </c>
      <c r="G20" s="127"/>
      <c r="H20" s="128"/>
      <c r="I20" s="44">
        <f t="shared" si="7"/>
        <v>0</v>
      </c>
      <c r="J20" s="663"/>
      <c r="K20" s="664"/>
      <c r="L20" s="157"/>
      <c r="M20" s="157"/>
      <c r="N20" s="44">
        <f t="shared" si="8"/>
        <v>0</v>
      </c>
      <c r="O20" s="663"/>
      <c r="P20" s="664"/>
      <c r="R20" s="253"/>
      <c r="U20" s="79"/>
      <c r="V20" s="307" t="s">
        <v>481</v>
      </c>
      <c r="W20" s="711">
        <f>IF(SUM(I5:I23)=0,0,SUM(I5:I23)/('F3 - Relevé du personnel'!BG34*'F3 - Formations et absences enc'!D54))</f>
        <v>0</v>
      </c>
      <c r="X20" s="712"/>
      <c r="Y20" s="705"/>
      <c r="Z20" s="706"/>
      <c r="AA20" s="705">
        <f>IF('F0 - Données générales'!C4="8.3*",(AB7*AA24)+AA25,SUM(AA21:AB26))</f>
        <v>0</v>
      </c>
      <c r="AB20" s="706"/>
      <c r="AC20" s="707">
        <f>IF(AA25=0,IF(W20&lt;0.625,SUM(AA21:AB24,AA26)/0.625*W20,IF(W20&gt;0.825,SUM(AA21:AB24,AA26)*W20/0.825,SUM(AA21:AB24,AA26))),IF(W20&lt;0.6,AA25/0.6*W20,IF(W20&gt;0.8,AA25*W20/0.8,AA25)))</f>
        <v>0</v>
      </c>
      <c r="AD20" s="708"/>
    </row>
    <row r="21" spans="1:36" ht="24.75" customHeight="1" x14ac:dyDescent="0.3">
      <c r="A21" s="726"/>
      <c r="B21" s="726"/>
      <c r="C21" s="726"/>
      <c r="D21" s="721" t="s">
        <v>47</v>
      </c>
      <c r="E21" s="722"/>
      <c r="F21" s="43" t="s">
        <v>48</v>
      </c>
      <c r="G21" s="127"/>
      <c r="H21" s="128"/>
      <c r="I21" s="44">
        <f t="shared" si="7"/>
        <v>0</v>
      </c>
      <c r="J21" s="663"/>
      <c r="K21" s="664"/>
      <c r="L21" s="157"/>
      <c r="M21" s="157"/>
      <c r="N21" s="44">
        <f t="shared" si="8"/>
        <v>0</v>
      </c>
      <c r="O21" s="663"/>
      <c r="P21" s="664"/>
      <c r="R21" s="253"/>
      <c r="U21" s="79"/>
      <c r="V21" s="307">
        <v>7</v>
      </c>
      <c r="W21" s="727"/>
      <c r="X21" s="728"/>
      <c r="Y21" s="703">
        <f>IF('F0 - Données générales'!$C$4=7,VLOOKUP('F2 - Données facturation'!V21,'F2 - Données facturation'!$V$3:$AD$10,3,FALSE),IF('F0 - Données générales'!$C$4="8.1",VLOOKUP('F2 - Données facturation'!V21,'F2 - Données facturation'!$V$3:$AD$10,4,FALSE),IF('F0 - Données générales'!$C$4="8.2",VLOOKUP('F2 - Données facturation'!V21,'F2 - Données facturation'!$V$3:$AD$10,5,FALSE),IF('F0 - Données générales'!$C$4="8.3",VLOOKUP('F2 - Données facturation'!V21,'F2 - Données facturation'!$V$3:$AD$10,6,FALSE),IF('F0 - Données générales'!$C$4="9.1",VLOOKUP('F2 - Données facturation'!V21,'F2 - Données facturation'!$V$3:$AD$10,7,FALSE),IF('F0 - Données générales'!$C$4=11,VLOOKUP('F2 - Données facturation'!V21,'F2 - Données facturation'!$V$3:$AD$10,8,FALSE),0))))))</f>
        <v>1</v>
      </c>
      <c r="Z21" s="704"/>
      <c r="AA21" s="703">
        <f>N5*Y21</f>
        <v>0</v>
      </c>
      <c r="AB21" s="704"/>
      <c r="AC21" s="701">
        <f>IF($W$20="","",IF($W$20&lt;0.625,AA21/0.625*$W$20,IF($W$20&gt;0.825,AA21*$W$20/0.825,AA21)))</f>
        <v>0</v>
      </c>
      <c r="AD21" s="702"/>
      <c r="AJ21" s="304">
        <f>N5*Y21</f>
        <v>0</v>
      </c>
    </row>
    <row r="22" spans="1:36" ht="24.75" customHeight="1" x14ac:dyDescent="0.3">
      <c r="A22" s="726"/>
      <c r="B22" s="726"/>
      <c r="C22" s="726"/>
      <c r="D22" s="721" t="s">
        <v>49</v>
      </c>
      <c r="E22" s="722"/>
      <c r="F22" s="43" t="s">
        <v>50</v>
      </c>
      <c r="G22" s="127"/>
      <c r="H22" s="128"/>
      <c r="I22" s="44">
        <f t="shared" si="7"/>
        <v>0</v>
      </c>
      <c r="J22" s="663"/>
      <c r="K22" s="664"/>
      <c r="L22" s="157"/>
      <c r="M22" s="157"/>
      <c r="N22" s="44">
        <f t="shared" si="8"/>
        <v>0</v>
      </c>
      <c r="O22" s="663"/>
      <c r="P22" s="664"/>
      <c r="R22" s="253"/>
      <c r="U22" s="79"/>
      <c r="V22" s="307" t="s">
        <v>17</v>
      </c>
      <c r="W22" s="727"/>
      <c r="X22" s="728"/>
      <c r="Y22" s="703">
        <f>IF('F0 - Données générales'!$C$4=7,VLOOKUP('F2 - Données facturation'!V22,'F2 - Données facturation'!$V$3:$AD$10,3,FALSE),IF('F0 - Données générales'!$C$4="8.1",VLOOKUP('F2 - Données facturation'!V22,'F2 - Données facturation'!$V$3:$AD$10,4,FALSE),IF('F0 - Données générales'!$C$4="8.2",VLOOKUP('F2 - Données facturation'!V22,'F2 - Données facturation'!$V$3:$AD$10,5,FALSE),IF('F0 - Données générales'!$C$4="8.3",VLOOKUP('F2 - Données facturation'!V22,'F2 - Données facturation'!$V$3:$AD$10,6,FALSE),IF('F0 - Données générales'!$C$4="9.1",VLOOKUP('F2 - Données facturation'!V22,'F2 - Données facturation'!$V$3:$AD$10,7,FALSE),IF('F0 - Données générales'!$C$4=11,VLOOKUP('F2 - Données facturation'!V22,'F2 - Données facturation'!$V$3:$AD$10,8,FALSE),0))))))</f>
        <v>1.5912897049664367</v>
      </c>
      <c r="Z22" s="704"/>
      <c r="AA22" s="703">
        <f>N6*Y22</f>
        <v>0</v>
      </c>
      <c r="AB22" s="704"/>
      <c r="AC22" s="701">
        <f>IF($W$20="","",IF($W$20&lt;0.625,AA22/0.625*$W$20,IF($W$20&gt;0.825,AA22*$W$20/0.825,AA22)))</f>
        <v>0</v>
      </c>
      <c r="AD22" s="702"/>
      <c r="AJ22" s="304">
        <f>N6*Y22</f>
        <v>0</v>
      </c>
    </row>
    <row r="23" spans="1:36" ht="24.75" customHeight="1" x14ac:dyDescent="0.3">
      <c r="A23" s="726"/>
      <c r="B23" s="726"/>
      <c r="C23" s="726"/>
      <c r="D23" s="721" t="s">
        <v>51</v>
      </c>
      <c r="E23" s="722"/>
      <c r="F23" s="43" t="s">
        <v>52</v>
      </c>
      <c r="G23" s="127"/>
      <c r="H23" s="128"/>
      <c r="I23" s="44">
        <f t="shared" si="7"/>
        <v>0</v>
      </c>
      <c r="J23" s="663"/>
      <c r="K23" s="664"/>
      <c r="L23" s="157"/>
      <c r="M23" s="157"/>
      <c r="N23" s="44">
        <f t="shared" si="8"/>
        <v>0</v>
      </c>
      <c r="O23" s="663"/>
      <c r="P23" s="664"/>
      <c r="R23" s="253"/>
      <c r="U23" s="79"/>
      <c r="V23" s="307" t="s">
        <v>19</v>
      </c>
      <c r="W23" s="727"/>
      <c r="X23" s="728"/>
      <c r="Y23" s="703">
        <f>IF('F0 - Données générales'!$C$4=7,VLOOKUP('F2 - Données facturation'!V23,'F2 - Données facturation'!$V$3:$AD$10,3,FALSE),IF('F0 - Données générales'!$C$4="8.1",VLOOKUP('F2 - Données facturation'!V23,'F2 - Données facturation'!$V$3:$AD$10,4,FALSE),IF('F0 - Données générales'!$C$4="8.2",VLOOKUP('F2 - Données facturation'!V23,'F2 - Données facturation'!$V$3:$AD$10,5,FALSE),IF('F0 - Données générales'!$C$4="8.3",VLOOKUP('F2 - Données facturation'!V23,'F2 - Données facturation'!$V$3:$AD$10,6,FALSE),IF('F0 - Données générales'!$C$4="9.1",VLOOKUP('F2 - Données facturation'!V23,'F2 - Données facturation'!$V$3:$AD$10,7,FALSE),IF('F0 - Données générales'!$C$4=11,VLOOKUP('F2 - Données facturation'!V23,'F2 - Données facturation'!$V$3:$AD$10,8,FALSE),0))))))</f>
        <v>1.523713409148578</v>
      </c>
      <c r="Z23" s="704"/>
      <c r="AA23" s="703">
        <f>N7*Y23</f>
        <v>0</v>
      </c>
      <c r="AB23" s="704"/>
      <c r="AC23" s="701">
        <f>IF($W$20="","",IF($W$20&lt;0.625,AA23/0.625*$W$20,IF($W$20&gt;0.825,AA23*$W$20/0.825,AA23)))</f>
        <v>0</v>
      </c>
      <c r="AD23" s="702"/>
      <c r="AJ23" s="304">
        <f>N7*Y23</f>
        <v>0</v>
      </c>
    </row>
    <row r="24" spans="1:36" ht="24.75" customHeight="1" x14ac:dyDescent="0.3">
      <c r="A24" s="308"/>
      <c r="B24" s="308"/>
      <c r="C24" s="308"/>
      <c r="D24" s="19"/>
      <c r="E24" s="19"/>
      <c r="F24" s="309"/>
      <c r="G24" s="310"/>
      <c r="H24" s="310"/>
      <c r="I24" s="311"/>
      <c r="J24" s="312"/>
      <c r="K24" s="312"/>
      <c r="L24" s="312"/>
      <c r="M24" s="313"/>
      <c r="N24" s="313"/>
      <c r="O24" s="311"/>
      <c r="P24" s="312"/>
      <c r="Q24" s="312"/>
      <c r="R24" s="253"/>
      <c r="U24" s="79"/>
      <c r="V24" s="307" t="s">
        <v>21</v>
      </c>
      <c r="W24" s="727"/>
      <c r="X24" s="728"/>
      <c r="Y24" s="703">
        <f>IF('F0 - Données générales'!$C$4=7,VLOOKUP('F2 - Données facturation'!V24,'F2 - Données facturation'!$V$3:$AD$10,3,FALSE),IF('F0 - Données générales'!$C$4="8.1",VLOOKUP('F2 - Données facturation'!V24,'F2 - Données facturation'!$V$3:$AD$10,4,FALSE),IF('F0 - Données générales'!$C$4="8.2",VLOOKUP('F2 - Données facturation'!V24,'F2 - Données facturation'!$V$3:$AD$10,5,FALSE),IF('F0 - Données générales'!$C$4="8.3",VLOOKUP('F2 - Données facturation'!V24,'F2 - Données facturation'!$V$3:$AD$10,6,FALSE),IF('F0 - Données générales'!$C$4="9.1",VLOOKUP('F2 - Données facturation'!V24,'F2 - Données facturation'!$V$3:$AD$10,7,FALSE),IF('F0 - Données générales'!$C$4=11,VLOOKUP('F2 - Données facturation'!V24,'F2 - Données facturation'!$V$3:$AD$10,8,FALSE),0))))))</f>
        <v>1.8387926460750619</v>
      </c>
      <c r="Z24" s="704"/>
      <c r="AA24" s="703">
        <f>N8*Y24</f>
        <v>0</v>
      </c>
      <c r="AB24" s="704"/>
      <c r="AC24" s="701">
        <f>IF($W$20="","",IF($W$20&lt;0.625,AA24/0.625*$W$20,IF($W$20&gt;0.825,AA24*$W$20/0.825,AA24)))</f>
        <v>0</v>
      </c>
      <c r="AD24" s="702"/>
      <c r="AJ24" s="304">
        <f>N8*Y24</f>
        <v>0</v>
      </c>
    </row>
    <row r="25" spans="1:36" ht="24.75" customHeight="1" x14ac:dyDescent="0.3">
      <c r="A25" s="308"/>
      <c r="B25" s="308"/>
      <c r="C25" s="308"/>
      <c r="D25" s="19"/>
      <c r="E25" s="19"/>
      <c r="F25" s="309"/>
      <c r="G25" s="310"/>
      <c r="H25" s="310"/>
      <c r="I25" s="311"/>
      <c r="J25" s="312"/>
      <c r="K25" s="312"/>
      <c r="L25" s="312"/>
      <c r="M25" s="313"/>
      <c r="N25" s="313"/>
      <c r="O25" s="311"/>
      <c r="P25" s="312"/>
      <c r="Q25" s="312"/>
      <c r="R25" s="253"/>
      <c r="U25" s="79"/>
      <c r="V25" s="307" t="s">
        <v>23</v>
      </c>
      <c r="W25" s="727"/>
      <c r="X25" s="728"/>
      <c r="Y25" s="703">
        <f>IF('F0 - Données générales'!$C$4=7,VLOOKUP('F2 - Données facturation'!V25,'F2 - Données facturation'!$V$3:$AD$10,3,FALSE),IF('F0 - Données générales'!$C$4="8.1",VLOOKUP('F2 - Données facturation'!V25,'F2 - Données facturation'!$V$3:$AD$10,4,FALSE),IF('F0 - Données générales'!$C$4="8.2",VLOOKUP('F2 - Données facturation'!V25,'F2 - Données facturation'!$V$3:$AD$10,5,FALSE),IF('F0 - Données générales'!$C$4="8.3",VLOOKUP('F2 - Données facturation'!V25,'F2 - Données facturation'!$V$3:$AD$10,6,FALSE),IF('F0 - Données générales'!$C$4="9.1",VLOOKUP('F2 - Données facturation'!V25,'F2 - Données facturation'!$V$3:$AD$10,7,FALSE),IF('F0 - Données générales'!$C$4=11,VLOOKUP('F2 - Données facturation'!V25,'F2 - Données facturation'!$V$3:$AD$10,8,FALSE),0))))))</f>
        <v>1.0092385412101219</v>
      </c>
      <c r="Z25" s="704"/>
      <c r="AA25" s="703">
        <f>N9*Y25</f>
        <v>0</v>
      </c>
      <c r="AB25" s="704"/>
      <c r="AC25" s="701">
        <f>IF($W$20="","",IF($W$20&lt;0.6,AA25/0.6*$W$20,IF($W$20&gt;0.8,AA25*$W$20/0.8,AA25)))</f>
        <v>0</v>
      </c>
      <c r="AD25" s="702"/>
      <c r="AJ25" s="304">
        <f>N9*Y25</f>
        <v>0</v>
      </c>
    </row>
    <row r="26" spans="1:36" ht="24.75" customHeight="1" x14ac:dyDescent="0.3">
      <c r="A26" s="308"/>
      <c r="B26" s="308"/>
      <c r="C26" s="308"/>
      <c r="D26" s="19"/>
      <c r="E26" s="19"/>
      <c r="F26" s="309"/>
      <c r="G26" s="310"/>
      <c r="H26" s="310"/>
      <c r="I26" s="311"/>
      <c r="J26" s="312"/>
      <c r="K26" s="312"/>
      <c r="L26" s="312"/>
      <c r="M26" s="313"/>
      <c r="N26" s="313"/>
      <c r="O26" s="311"/>
      <c r="P26" s="312"/>
      <c r="Q26" s="312"/>
      <c r="R26" s="253"/>
      <c r="U26" s="79"/>
      <c r="V26" s="307">
        <v>11</v>
      </c>
      <c r="W26" s="727"/>
      <c r="X26" s="728"/>
      <c r="Y26" s="703">
        <f>IF('F0 - Données générales'!$C$4=7,VLOOKUP('F2 - Données facturation'!V26,'F2 - Données facturation'!$V$3:$AD$10,3,FALSE),IF('F0 - Données générales'!$C$4="8.1",VLOOKUP('F2 - Données facturation'!V26,'F2 - Données facturation'!$V$3:$AD$10,4,FALSE),IF('F0 - Données générales'!$C$4="8.2",VLOOKUP('F2 - Données facturation'!V26,'F2 - Données facturation'!$V$3:$AD$10,5,FALSE),IF('F0 - Données générales'!$C$4="8.3",VLOOKUP('F2 - Données facturation'!V26,'F2 - Données facturation'!$V$3:$AD$10,6,FALSE),IF('F0 - Données générales'!$C$4="9.1",VLOOKUP('F2 - Données facturation'!V26,'F2 - Données facturation'!$V$3:$AD$10,7,FALSE),IF('F0 - Données générales'!$C$4=11,VLOOKUP('F2 - Données facturation'!V26,'F2 - Données facturation'!$V$3:$AD$10,8,FALSE),0))))))</f>
        <v>0.8124495398030035</v>
      </c>
      <c r="Z26" s="704"/>
      <c r="AA26" s="703">
        <f>(SUM(O10:O23)/(W9*'Carrières et points'!E10))*Y26</f>
        <v>0</v>
      </c>
      <c r="AB26" s="704"/>
      <c r="AC26" s="701">
        <f>IF($W$20="","",IF($W$20&lt;0.625,AA26/0.625*$W$20,IF($W$20&gt;0.825,AA26*$W$20/0.825,AA26)))</f>
        <v>0</v>
      </c>
      <c r="AD26" s="702"/>
      <c r="AJ26" s="304">
        <f>(SUM(O10:O23)/(W9*'Carrières et points'!E10))*Y26</f>
        <v>0</v>
      </c>
    </row>
    <row r="27" spans="1:36" ht="15.6" x14ac:dyDescent="0.3">
      <c r="A27" s="22"/>
      <c r="B27" s="22"/>
      <c r="C27" s="22"/>
      <c r="D27" s="19"/>
      <c r="E27" s="19"/>
      <c r="F27" s="20"/>
      <c r="G27" s="21"/>
      <c r="H27" s="21"/>
      <c r="J27" s="27"/>
      <c r="K27" s="27"/>
      <c r="L27" s="27"/>
      <c r="M27" s="129"/>
      <c r="N27" s="129"/>
      <c r="O27" s="21"/>
      <c r="P27" s="27"/>
      <c r="Q27" s="27"/>
      <c r="U27" s="79"/>
      <c r="AE27" s="365"/>
    </row>
    <row r="28" spans="1:36" ht="54.75" customHeight="1" x14ac:dyDescent="0.3">
      <c r="A28" s="725" t="s">
        <v>181</v>
      </c>
      <c r="B28" s="725"/>
      <c r="C28" s="725"/>
      <c r="D28" s="725"/>
      <c r="E28" s="725"/>
      <c r="F28" s="73" t="s">
        <v>182</v>
      </c>
      <c r="G28" s="73" t="s">
        <v>183</v>
      </c>
      <c r="H28" s="78" t="s">
        <v>184</v>
      </c>
      <c r="I28" s="73" t="s">
        <v>185</v>
      </c>
      <c r="J28" s="73" t="s">
        <v>186</v>
      </c>
      <c r="K28" s="73" t="s">
        <v>444</v>
      </c>
      <c r="L28" s="73" t="s">
        <v>187</v>
      </c>
      <c r="M28" s="73" t="s">
        <v>188</v>
      </c>
      <c r="N28" s="73" t="s">
        <v>94</v>
      </c>
      <c r="O28" s="21"/>
      <c r="P28" s="27"/>
      <c r="Q28" s="27"/>
      <c r="R28" s="253"/>
      <c r="U28" s="79"/>
      <c r="AC28" s="168"/>
      <c r="AD28" s="168"/>
    </row>
    <row r="29" spans="1:36" ht="24.75" customHeight="1" x14ac:dyDescent="0.3">
      <c r="A29" s="729" t="s">
        <v>189</v>
      </c>
      <c r="B29" s="729"/>
      <c r="C29" s="729"/>
      <c r="D29" s="729"/>
      <c r="E29" s="729"/>
      <c r="F29" s="74"/>
      <c r="G29" s="74"/>
      <c r="H29" s="74"/>
      <c r="I29" s="74"/>
      <c r="J29" s="74"/>
      <c r="K29" s="74"/>
      <c r="L29" s="74"/>
      <c r="M29" s="74"/>
      <c r="N29" s="130">
        <f>SUM(F29:M29)</f>
        <v>0</v>
      </c>
      <c r="O29" s="21"/>
      <c r="P29" s="27"/>
      <c r="Q29" s="27"/>
      <c r="U29" s="79"/>
      <c r="V29" s="730" t="s">
        <v>441</v>
      </c>
      <c r="W29" s="740" t="s">
        <v>482</v>
      </c>
      <c r="X29" s="740"/>
      <c r="Y29" s="736" t="s">
        <v>480</v>
      </c>
      <c r="Z29" s="737"/>
      <c r="AC29" s="168"/>
      <c r="AD29" s="168"/>
      <c r="AH29" s="397"/>
    </row>
    <row r="30" spans="1:36" ht="24.75" customHeight="1" x14ac:dyDescent="0.3">
      <c r="A30" s="729" t="s">
        <v>190</v>
      </c>
      <c r="B30" s="729"/>
      <c r="C30" s="729"/>
      <c r="D30" s="729"/>
      <c r="E30" s="729"/>
      <c r="F30" s="130">
        <f>F29*$R$30</f>
        <v>0</v>
      </c>
      <c r="G30" s="130">
        <f t="shared" ref="G30:L30" si="15">G29*$R$30</f>
        <v>0</v>
      </c>
      <c r="H30" s="130">
        <f t="shared" si="15"/>
        <v>0</v>
      </c>
      <c r="I30" s="130">
        <f t="shared" si="15"/>
        <v>0</v>
      </c>
      <c r="J30" s="130">
        <f t="shared" si="15"/>
        <v>0</v>
      </c>
      <c r="K30" s="130">
        <f>K29*$R$30</f>
        <v>0</v>
      </c>
      <c r="L30" s="130">
        <f t="shared" si="15"/>
        <v>0</v>
      </c>
      <c r="M30" s="130">
        <f>M29*$R$30</f>
        <v>0</v>
      </c>
      <c r="N30" s="130">
        <f>N29*$R$30</f>
        <v>0</v>
      </c>
      <c r="O30" s="21"/>
      <c r="P30" s="731" t="s">
        <v>244</v>
      </c>
      <c r="Q30" s="731"/>
      <c r="R30" s="25">
        <v>365</v>
      </c>
      <c r="U30" s="79"/>
      <c r="V30" s="730"/>
      <c r="W30" s="740"/>
      <c r="X30" s="740"/>
      <c r="Y30" s="738"/>
      <c r="Z30" s="739"/>
      <c r="AC30" s="168"/>
      <c r="AD30" s="168"/>
      <c r="AH30" s="397"/>
    </row>
    <row r="31" spans="1:36" ht="24.75" customHeight="1" x14ac:dyDescent="0.3">
      <c r="A31" s="729" t="s">
        <v>192</v>
      </c>
      <c r="B31" s="729"/>
      <c r="C31" s="729"/>
      <c r="D31" s="729"/>
      <c r="E31" s="729"/>
      <c r="F31" s="74"/>
      <c r="G31" s="74"/>
      <c r="H31" s="74"/>
      <c r="I31" s="74"/>
      <c r="J31" s="74"/>
      <c r="K31" s="74"/>
      <c r="L31" s="74"/>
      <c r="M31" s="74"/>
      <c r="N31" s="130">
        <f>SUM(F31:M31)</f>
        <v>0</v>
      </c>
      <c r="O31" s="21"/>
      <c r="P31" s="27"/>
      <c r="Q31" s="27"/>
      <c r="U31" s="79"/>
      <c r="V31" s="86" t="s">
        <v>294</v>
      </c>
      <c r="W31" s="735">
        <f>IF('F0 - Données générales'!$C$4="Base/Ortho",VLOOKUP('F2 - Données facturation'!V31,'F2 - Données facturation'!$V$11:$AJ$16,10,FALSE),IF('F0 - Données générales'!$C$4="Psycho",VLOOKUP('F2 - Données facturation'!V31,'F2 - Données facturation'!$V$11:$AJ$16,12,FALSE),IF('F0 - Données générales'!$C$4="0-3 ans",VLOOKUP('F2 - Données facturation'!V31,'F2 - Données facturation'!$V$11:$AJ$16,14,FALSE),IF('F0 - Données générales'!$C$4="AUSC",VLOOKUP('F2 - Données facturation'!V31,'F2 - Données facturation'!$V$11:$AJ$16,13,FALSE),IF('F0 - Données générales'!$C$4="Petit groupe",VLOOKUP('F2 - Données facturation'!V31,'F2 - Données facturation'!$V$11:$AJ$16,15,FALSE),0)))))</f>
        <v>0</v>
      </c>
      <c r="X31" s="735"/>
      <c r="Y31" s="735">
        <f>F31*W31</f>
        <v>0</v>
      </c>
      <c r="Z31" s="735"/>
      <c r="AC31" s="168"/>
      <c r="AD31" s="168"/>
      <c r="AH31" s="397"/>
    </row>
    <row r="32" spans="1:36" ht="24.75" customHeight="1" x14ac:dyDescent="0.3">
      <c r="A32" s="729" t="s">
        <v>191</v>
      </c>
      <c r="B32" s="729"/>
      <c r="C32" s="729"/>
      <c r="D32" s="729"/>
      <c r="E32" s="729"/>
      <c r="F32" s="156"/>
      <c r="G32" s="156"/>
      <c r="H32" s="156"/>
      <c r="I32" s="156"/>
      <c r="J32" s="156"/>
      <c r="K32" s="156"/>
      <c r="L32" s="156"/>
      <c r="M32" s="156"/>
      <c r="N32" s="130">
        <f>SUM(F32:M32)</f>
        <v>0</v>
      </c>
      <c r="O32" s="21"/>
      <c r="P32" s="27"/>
      <c r="U32" s="79"/>
      <c r="V32" s="86" t="s">
        <v>295</v>
      </c>
      <c r="W32" s="735">
        <f>IF('F0 - Données générales'!$C$4="Base/Ortho",VLOOKUP('F2 - Données facturation'!V32,'F2 - Données facturation'!$V$11:$AJ$16,10,FALSE),IF('F0 - Données générales'!$C$4="Psycho",VLOOKUP('F2 - Données facturation'!V32,'F2 - Données facturation'!$V$11:$AJ$16,12,FALSE),IF('F0 - Données générales'!$C$4="0-3 ans",VLOOKUP('F2 - Données facturation'!V32,'F2 - Données facturation'!$V$11:$AJ$16,14,FALSE),IF('F0 - Données générales'!$C$4="AUSC",VLOOKUP('F2 - Données facturation'!V32,'F2 - Données facturation'!$V$11:$AJ$16,13,FALSE),IF('F0 - Données générales'!$C$4="Petit groupe",VLOOKUP('F2 - Données facturation'!V32,'F2 - Données facturation'!$V$11:$AJ$16,15,FALSE),0)))))</f>
        <v>0</v>
      </c>
      <c r="X32" s="735"/>
      <c r="Y32" s="735">
        <f>G31*W32</f>
        <v>0</v>
      </c>
      <c r="Z32" s="735"/>
      <c r="AC32" s="168"/>
      <c r="AD32" s="168"/>
      <c r="AH32" s="397"/>
    </row>
    <row r="33" spans="1:37" ht="24.75" customHeight="1" x14ac:dyDescent="0.3">
      <c r="A33" s="729" t="s">
        <v>193</v>
      </c>
      <c r="B33" s="729"/>
      <c r="C33" s="729"/>
      <c r="D33" s="729"/>
      <c r="E33" s="729"/>
      <c r="F33" s="75">
        <f t="shared" ref="F33:N33" si="16">F31/$R$30</f>
        <v>0</v>
      </c>
      <c r="G33" s="75">
        <f t="shared" si="16"/>
        <v>0</v>
      </c>
      <c r="H33" s="75">
        <f t="shared" si="16"/>
        <v>0</v>
      </c>
      <c r="I33" s="75">
        <f t="shared" si="16"/>
        <v>0</v>
      </c>
      <c r="J33" s="75">
        <f t="shared" si="16"/>
        <v>0</v>
      </c>
      <c r="K33" s="75">
        <f>K31/$R$30</f>
        <v>0</v>
      </c>
      <c r="L33" s="75">
        <f>L31/$R$30</f>
        <v>0</v>
      </c>
      <c r="M33" s="75">
        <f t="shared" si="16"/>
        <v>0</v>
      </c>
      <c r="N33" s="75">
        <f t="shared" si="16"/>
        <v>0</v>
      </c>
      <c r="O33" s="21"/>
      <c r="P33" s="27"/>
      <c r="U33" s="79"/>
      <c r="V33" s="86" t="s">
        <v>178</v>
      </c>
      <c r="W33" s="735">
        <f>IF('F0 - Données générales'!$C$4="Base/Ortho",VLOOKUP('F2 - Données facturation'!V33,'F2 - Données facturation'!$V$11:$AJ$16,10,FALSE),IF('F0 - Données générales'!$C$4="Psycho",VLOOKUP('F2 - Données facturation'!V33,'F2 - Données facturation'!$V$11:$AJ$16,12,FALSE),IF('F0 - Données générales'!$C$4="0-3 ans",VLOOKUP('F2 - Données facturation'!V33,'F2 - Données facturation'!$V$11:$AJ$16,14,FALSE),IF('F0 - Données générales'!$C$4="AUSC",VLOOKUP('F2 - Données facturation'!V33,'F2 - Données facturation'!$V$11:$AJ$16,13,FALSE),IF('F0 - Données générales'!$C$4="Petit groupe",VLOOKUP('F2 - Données facturation'!V33,'F2 - Données facturation'!$V$11:$AJ$16,15,FALSE),0)))))</f>
        <v>0</v>
      </c>
      <c r="X33" s="735"/>
      <c r="Y33" s="735">
        <f>H31*W33</f>
        <v>0</v>
      </c>
      <c r="Z33" s="735"/>
      <c r="AC33" s="168"/>
      <c r="AD33" s="168"/>
      <c r="AH33" s="397"/>
    </row>
    <row r="34" spans="1:37" ht="24.75" customHeight="1" x14ac:dyDescent="0.3">
      <c r="A34" s="729" t="s">
        <v>194</v>
      </c>
      <c r="B34" s="729"/>
      <c r="C34" s="729"/>
      <c r="D34" s="729"/>
      <c r="E34" s="729"/>
      <c r="F34" s="76" t="str">
        <f t="shared" ref="F34:N34" si="17">IF(OR(F30="",F30=0),"",F31/F30)</f>
        <v/>
      </c>
      <c r="G34" s="76" t="str">
        <f t="shared" si="17"/>
        <v/>
      </c>
      <c r="H34" s="76" t="str">
        <f t="shared" si="17"/>
        <v/>
      </c>
      <c r="I34" s="76" t="str">
        <f t="shared" si="17"/>
        <v/>
      </c>
      <c r="J34" s="76" t="str">
        <f t="shared" si="17"/>
        <v/>
      </c>
      <c r="K34" s="76" t="str">
        <f t="shared" si="17"/>
        <v/>
      </c>
      <c r="L34" s="76" t="str">
        <f t="shared" si="17"/>
        <v/>
      </c>
      <c r="M34" s="76" t="str">
        <f t="shared" si="17"/>
        <v/>
      </c>
      <c r="N34" s="77" t="str">
        <f t="shared" si="17"/>
        <v/>
      </c>
      <c r="O34" s="21"/>
      <c r="P34" s="27"/>
      <c r="Q34" s="27"/>
      <c r="U34" s="79"/>
      <c r="V34" s="86" t="s">
        <v>179</v>
      </c>
      <c r="W34" s="735">
        <f>IF('F0 - Données générales'!$C$4="Base/Ortho",VLOOKUP('F2 - Données facturation'!V34,'F2 - Données facturation'!$V$11:$AJ$16,10,FALSE),IF('F0 - Données générales'!$C$4="Psycho",VLOOKUP('F2 - Données facturation'!V34,'F2 - Données facturation'!$V$11:$AJ$16,12,FALSE),IF('F0 - Données générales'!$C$4="0-3 ans",VLOOKUP('F2 - Données facturation'!V34,'F2 - Données facturation'!$V$11:$AJ$16,14,FALSE),IF('F0 - Données générales'!$C$4="AUSC",VLOOKUP('F2 - Données facturation'!V34,'F2 - Données facturation'!$V$11:$AJ$16,13,FALSE),IF('F0 - Données générales'!$C$4="Petit groupe",VLOOKUP('F2 - Données facturation'!V34,'F2 - Données facturation'!$V$11:$AJ$16,15,FALSE),0)))))</f>
        <v>0</v>
      </c>
      <c r="X34" s="735"/>
      <c r="Y34" s="735">
        <f>I31*W34</f>
        <v>0</v>
      </c>
      <c r="Z34" s="735"/>
      <c r="AC34" s="168"/>
      <c r="AD34" s="168"/>
    </row>
    <row r="35" spans="1:37" ht="24.75" customHeight="1" x14ac:dyDescent="0.3">
      <c r="A35" s="732"/>
      <c r="B35" s="733"/>
      <c r="C35" s="733"/>
      <c r="D35" s="733"/>
      <c r="E35" s="734"/>
      <c r="F35" s="661"/>
      <c r="G35" s="661"/>
      <c r="H35" s="661"/>
      <c r="I35" s="661"/>
      <c r="J35" s="661"/>
      <c r="K35" s="661"/>
      <c r="L35" s="661"/>
      <c r="M35" s="661"/>
      <c r="N35" s="662"/>
      <c r="O35" s="21"/>
      <c r="P35" s="27"/>
      <c r="Q35" s="27"/>
      <c r="U35" s="79"/>
      <c r="V35" s="86" t="s">
        <v>180</v>
      </c>
      <c r="W35" s="735">
        <f>IF('F0 - Données générales'!$C$4="Base/Ortho",VLOOKUP('F2 - Données facturation'!V35,'F2 - Données facturation'!$V$11:$AJ$16,10,FALSE),IF('F0 - Données générales'!$C$4="Psycho",VLOOKUP('F2 - Données facturation'!V35,'F2 - Données facturation'!$V$11:$AJ$16,12,FALSE),IF('F0 - Données générales'!$C$4="0-3 ans",VLOOKUP('F2 - Données facturation'!V35,'F2 - Données facturation'!$V$11:$AJ$16,14,FALSE),IF('F0 - Données générales'!$C$4="AUSC",VLOOKUP('F2 - Données facturation'!V35,'F2 - Données facturation'!$V$11:$AJ$16,13,FALSE),IF('F0 - Données générales'!$C$4="Petit groupe",VLOOKUP('F2 - Données facturation'!V35,'F2 - Données facturation'!$V$11:$AJ$16,15,FALSE),0)))))</f>
        <v>0</v>
      </c>
      <c r="X35" s="735"/>
      <c r="Y35" s="735">
        <f>J31*W35</f>
        <v>0</v>
      </c>
      <c r="Z35" s="735"/>
      <c r="AC35" s="168"/>
      <c r="AD35" s="168"/>
    </row>
    <row r="36" spans="1:37" ht="24.75" customHeight="1" x14ac:dyDescent="0.3">
      <c r="A36" s="732"/>
      <c r="B36" s="733"/>
      <c r="C36" s="733"/>
      <c r="D36" s="733"/>
      <c r="E36" s="734"/>
      <c r="F36" s="661"/>
      <c r="G36" s="661"/>
      <c r="H36" s="661"/>
      <c r="I36" s="661"/>
      <c r="J36" s="661"/>
      <c r="K36" s="661"/>
      <c r="L36" s="661"/>
      <c r="M36" s="661"/>
      <c r="N36" s="662"/>
      <c r="O36" s="21" t="str">
        <f>IF(AND(N35&lt;&gt;N36,N36&lt;&gt;0),"A vérifier","")</f>
        <v/>
      </c>
      <c r="P36" s="27"/>
      <c r="Q36" s="27"/>
      <c r="U36" s="79"/>
      <c r="V36" s="86" t="s">
        <v>444</v>
      </c>
      <c r="W36" s="735">
        <f>IF('F0 - Données générales'!$C$4="Base/Ortho",VLOOKUP('F2 - Données facturation'!V36,'F2 - Données facturation'!$V$11:$AJ$16,10,FALSE),IF('F0 - Données générales'!$C$4="Psycho",VLOOKUP('F2 - Données facturation'!V36,'F2 - Données facturation'!$V$11:$AJ$16,12,FALSE),IF('F0 - Données générales'!$C$4="0-3 ans",VLOOKUP('F2 - Données facturation'!V36,'F2 - Données facturation'!$V$11:$AJ$16,14,FALSE),IF('F0 - Données générales'!$C$4="AUSC",VLOOKUP('F2 - Données facturation'!V36,'F2 - Données facturation'!$V$11:$AJ$16,13,FALSE),IF('F0 - Données générales'!$C$4="Petit groupe",VLOOKUP('F2 - Données facturation'!V36,'F2 - Données facturation'!$V$11:$AJ$16,15,FALSE),0)))))</f>
        <v>0</v>
      </c>
      <c r="X36" s="735"/>
      <c r="Y36" s="735">
        <f>K31*W36</f>
        <v>0</v>
      </c>
      <c r="Z36" s="735"/>
      <c r="AA36" s="253"/>
      <c r="AC36" s="168"/>
      <c r="AD36" s="168"/>
    </row>
    <row r="37" spans="1:37" ht="15.6" x14ac:dyDescent="0.3">
      <c r="A37" s="22"/>
      <c r="B37" s="22"/>
      <c r="C37" s="22"/>
      <c r="D37" s="19"/>
      <c r="E37" s="19"/>
      <c r="F37" s="20"/>
      <c r="G37" s="21"/>
      <c r="H37" s="21"/>
      <c r="J37" s="27"/>
      <c r="K37" s="27"/>
      <c r="L37" s="27"/>
      <c r="M37" s="21"/>
      <c r="N37" s="21"/>
      <c r="O37" s="21"/>
      <c r="P37" s="27"/>
      <c r="Q37" s="27"/>
      <c r="U37" s="79"/>
      <c r="V37" s="86" t="s">
        <v>481</v>
      </c>
      <c r="W37" s="735"/>
      <c r="X37" s="735"/>
      <c r="Y37" s="735">
        <f>SUM(Y31:Z36)</f>
        <v>0</v>
      </c>
      <c r="Z37" s="735"/>
      <c r="AA37" s="314"/>
      <c r="AC37" s="168"/>
      <c r="AD37" s="168"/>
    </row>
    <row r="38" spans="1:37" x14ac:dyDescent="0.3">
      <c r="AC38" s="168"/>
      <c r="AD38" s="168"/>
    </row>
    <row r="39" spans="1:37" x14ac:dyDescent="0.3">
      <c r="AC39" s="168"/>
      <c r="AD39" s="168"/>
    </row>
    <row r="40" spans="1:37" ht="15.6" x14ac:dyDescent="0.3">
      <c r="S40" s="28"/>
      <c r="Z40" s="168"/>
      <c r="AA40" s="168"/>
      <c r="AB40" s="168"/>
      <c r="AC40" s="168"/>
      <c r="AD40" s="168"/>
      <c r="AE40" s="168"/>
      <c r="AF40" s="168"/>
      <c r="AG40" s="168"/>
      <c r="AH40" s="168"/>
      <c r="AI40" s="168"/>
      <c r="AJ40" s="168"/>
      <c r="AK40" s="168"/>
    </row>
    <row r="41" spans="1:37" x14ac:dyDescent="0.3">
      <c r="Z41" s="168"/>
      <c r="AA41" s="168"/>
      <c r="AB41" s="168"/>
      <c r="AC41" s="168"/>
      <c r="AD41" s="168"/>
      <c r="AE41" s="168"/>
      <c r="AF41" s="168"/>
      <c r="AG41" s="168"/>
      <c r="AH41" s="168"/>
      <c r="AI41" s="168"/>
      <c r="AJ41" s="168"/>
      <c r="AK41" s="168"/>
    </row>
    <row r="42" spans="1:37" ht="48" customHeight="1" x14ac:dyDescent="0.3">
      <c r="Z42" s="168"/>
      <c r="AA42" s="168"/>
      <c r="AB42" s="168"/>
      <c r="AC42" s="168"/>
      <c r="AD42" s="168"/>
      <c r="AE42" s="168"/>
      <c r="AF42" s="168"/>
      <c r="AG42" s="168"/>
      <c r="AH42" s="168"/>
      <c r="AI42" s="168"/>
      <c r="AJ42" s="168"/>
      <c r="AK42" s="168"/>
    </row>
  </sheetData>
  <sheetProtection algorithmName="SHA-512" hashValue="EcWNnAthpZ6HxsmKJlxNh/r43OsDY3OIiy0P/wXHOj6y24e3TBYK2ID2FkDUwEUCL82Vygb5+jVKyyO8rL1sQA==" saltValue="iLbJG6vhrTnEipAQ59y6sA==" spinCount="100000" sheet="1" objects="1" scenarios="1"/>
  <mergeCells count="95">
    <mergeCell ref="W37:X37"/>
    <mergeCell ref="Y37:Z37"/>
    <mergeCell ref="W25:X25"/>
    <mergeCell ref="W26:X26"/>
    <mergeCell ref="W22:X22"/>
    <mergeCell ref="Y36:Z36"/>
    <mergeCell ref="Y25:Z25"/>
    <mergeCell ref="Y26:Z26"/>
    <mergeCell ref="W23:X23"/>
    <mergeCell ref="W24:X24"/>
    <mergeCell ref="Y35:Z35"/>
    <mergeCell ref="Y34:Z34"/>
    <mergeCell ref="W34:X34"/>
    <mergeCell ref="Y33:Z33"/>
    <mergeCell ref="Y23:Z23"/>
    <mergeCell ref="W29:X30"/>
    <mergeCell ref="AC24:AD24"/>
    <mergeCell ref="AC25:AD25"/>
    <mergeCell ref="AC26:AD26"/>
    <mergeCell ref="Y32:Z32"/>
    <mergeCell ref="AA26:AB26"/>
    <mergeCell ref="AA25:AB25"/>
    <mergeCell ref="AA24:AB24"/>
    <mergeCell ref="Y31:Z31"/>
    <mergeCell ref="Y29:Z30"/>
    <mergeCell ref="Y24:Z24"/>
    <mergeCell ref="A36:E36"/>
    <mergeCell ref="W31:X31"/>
    <mergeCell ref="W33:X33"/>
    <mergeCell ref="W32:X32"/>
    <mergeCell ref="W36:X36"/>
    <mergeCell ref="A35:E35"/>
    <mergeCell ref="W35:X35"/>
    <mergeCell ref="A33:E33"/>
    <mergeCell ref="A34:E34"/>
    <mergeCell ref="A32:E32"/>
    <mergeCell ref="A29:E29"/>
    <mergeCell ref="A30:E30"/>
    <mergeCell ref="V29:V30"/>
    <mergeCell ref="P30:Q30"/>
    <mergeCell ref="A31:E31"/>
    <mergeCell ref="A28:E28"/>
    <mergeCell ref="A20:C23"/>
    <mergeCell ref="W21:X21"/>
    <mergeCell ref="D20:E20"/>
    <mergeCell ref="D21:E21"/>
    <mergeCell ref="D22:E22"/>
    <mergeCell ref="D23:E23"/>
    <mergeCell ref="A5:C8"/>
    <mergeCell ref="D5:E5"/>
    <mergeCell ref="D6:E6"/>
    <mergeCell ref="D7:E7"/>
    <mergeCell ref="D8:E8"/>
    <mergeCell ref="A9:C9"/>
    <mergeCell ref="D9:E9"/>
    <mergeCell ref="A10:C19"/>
    <mergeCell ref="D10:E10"/>
    <mergeCell ref="D11:E11"/>
    <mergeCell ref="D12:E12"/>
    <mergeCell ref="D13:E13"/>
    <mergeCell ref="D19:E19"/>
    <mergeCell ref="D14:E14"/>
    <mergeCell ref="D15:E15"/>
    <mergeCell ref="D16:E16"/>
    <mergeCell ref="D17:E17"/>
    <mergeCell ref="D18:E18"/>
    <mergeCell ref="D3:E4"/>
    <mergeCell ref="F3:F4"/>
    <mergeCell ref="G3:G4"/>
    <mergeCell ref="H3:H4"/>
    <mergeCell ref="I3:I4"/>
    <mergeCell ref="G2:K2"/>
    <mergeCell ref="W20:X20"/>
    <mergeCell ref="J3:J4"/>
    <mergeCell ref="K3:K4"/>
    <mergeCell ref="L3:L4"/>
    <mergeCell ref="M3:M4"/>
    <mergeCell ref="N3:N4"/>
    <mergeCell ref="W18:X19"/>
    <mergeCell ref="AA18:AB19"/>
    <mergeCell ref="AC18:AD19"/>
    <mergeCell ref="O3:O4"/>
    <mergeCell ref="P3:P4"/>
    <mergeCell ref="AC23:AD23"/>
    <mergeCell ref="AA23:AB23"/>
    <mergeCell ref="Y18:Z19"/>
    <mergeCell ref="AA21:AB21"/>
    <mergeCell ref="AC21:AD21"/>
    <mergeCell ref="AA22:AB22"/>
    <mergeCell ref="AC22:AD22"/>
    <mergeCell ref="AA20:AB20"/>
    <mergeCell ref="AC20:AD20"/>
    <mergeCell ref="Y20:Z20"/>
    <mergeCell ref="Y21:Z21"/>
    <mergeCell ref="Y22:Z22"/>
  </mergeCells>
  <pageMargins left="0.7" right="0.7" top="0.75" bottom="0.75" header="0.3" footer="0.3"/>
  <pageSetup paperSize="9" orientation="portrait" r:id="rId1"/>
  <ignoredErrors>
    <ignoredError sqref="I5" formulaRange="1"/>
  </ignoredErrors>
  <extLst>
    <ext xmlns:x14="http://schemas.microsoft.com/office/spreadsheetml/2009/9/main" uri="{78C0D931-6437-407d-A8EE-F0AAD7539E65}">
      <x14:conditionalFormattings>
        <x14:conditionalFormatting xmlns:xm="http://schemas.microsoft.com/office/excel/2006/main">
          <x14:cfRule type="expression" priority="109" id="{7D8A3BD1-5BEC-40BA-BD5A-D51C756C1DB9}">
            <xm:f>'F0 - Données générales'!$H$5&lt;&gt;"journalier"</xm:f>
            <x14:dxf>
              <fill>
                <patternFill patternType="darkGray">
                  <bgColor theme="0" tint="-0.499984740745262"/>
                </patternFill>
              </fill>
            </x14:dxf>
          </x14:cfRule>
          <xm:sqref>A28:N36</xm:sqref>
        </x14:conditionalFormatting>
        <x14:conditionalFormatting xmlns:xm="http://schemas.microsoft.com/office/excel/2006/main">
          <x14:cfRule type="expression" priority="110" id="{D202C2D6-5680-47AC-AAD3-3DEDF371E8F0}">
            <xm:f>'F0 - Données générales'!$H$5&lt;&gt;"horaire"</xm:f>
            <x14:dxf>
              <fill>
                <patternFill patternType="darkGray">
                  <bgColor theme="0" tint="-0.499984740745262"/>
                </patternFill>
              </fill>
            </x14:dxf>
          </x14:cfRule>
          <xm:sqref>D2:P23</xm:sqref>
        </x14:conditionalFormatting>
        <x14:conditionalFormatting xmlns:xm="http://schemas.microsoft.com/office/excel/2006/main">
          <x14:cfRule type="expression" priority="1" id="{27166E95-A393-41CA-9EA4-0AFB618EEAC3}">
            <xm:f>'F0 - Données générales'!$H$5&lt;&gt;"journalier"</xm:f>
            <x14:dxf>
              <fill>
                <patternFill patternType="darkGray">
                  <bgColor theme="0" tint="-0.499984740745262"/>
                </patternFill>
              </fill>
            </x14:dxf>
          </x14:cfRule>
          <xm:sqref>V29:Z37</xm:sqref>
        </x14:conditionalFormatting>
        <x14:conditionalFormatting xmlns:xm="http://schemas.microsoft.com/office/excel/2006/main">
          <x14:cfRule type="expression" priority="8" id="{357D556D-775A-4925-BE13-186453970163}">
            <xm:f>'F0 - Données générales'!$H$5&lt;&gt;"horaire"</xm:f>
            <x14:dxf>
              <fill>
                <patternFill patternType="darkGray">
                  <bgColor theme="0" tint="-0.499984740745262"/>
                </patternFill>
              </fill>
            </x14:dxf>
          </x14:cfRule>
          <xm:sqref>V18:AD26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CB437"/>
  <sheetViews>
    <sheetView zoomScale="85" zoomScaleNormal="85" workbookViewId="0">
      <pane ySplit="3" topLeftCell="A4" activePane="bottomLeft" state="frozen"/>
      <selection activeCell="N28" sqref="N28"/>
      <selection pane="bottomLeft" activeCell="D4" sqref="D4"/>
    </sheetView>
  </sheetViews>
  <sheetFormatPr defaultColWidth="11.44140625" defaultRowHeight="14.4" outlineLevelCol="1" x14ac:dyDescent="0.3"/>
  <cols>
    <col min="1" max="1" width="15.109375" style="104" customWidth="1"/>
    <col min="2" max="3" width="17.109375" style="104" hidden="1" customWidth="1" outlineLevel="1"/>
    <col min="4" max="4" width="17.109375" style="104" customWidth="1" collapsed="1"/>
    <col min="5" max="5" width="17.109375" style="104" customWidth="1"/>
    <col min="6" max="6" width="17.109375" style="104" hidden="1" customWidth="1" outlineLevel="1"/>
    <col min="7" max="7" width="17.109375" style="104" customWidth="1" collapsed="1"/>
    <col min="8" max="8" width="17.109375" style="104" customWidth="1"/>
    <col min="9" max="11" width="17.109375" style="104" hidden="1" customWidth="1" outlineLevel="1"/>
    <col min="12" max="12" width="73.44140625" style="104" hidden="1" customWidth="1" outlineLevel="1"/>
    <col min="13" max="18" width="17.109375" style="104" hidden="1" customWidth="1" outlineLevel="1"/>
    <col min="19" max="19" width="17.109375" style="104" customWidth="1" collapsed="1"/>
    <col min="20" max="53" width="17.109375" style="104" customWidth="1"/>
    <col min="56" max="56" width="17.6640625" customWidth="1"/>
    <col min="57" max="58" width="33.88671875" customWidth="1"/>
    <col min="59" max="70" width="19" customWidth="1"/>
    <col min="71" max="72" width="12.88671875" customWidth="1"/>
    <col min="73" max="73" width="27" customWidth="1"/>
    <col min="74" max="78" width="16.6640625" customWidth="1"/>
    <col min="79" max="80" width="16.5546875" customWidth="1"/>
    <col min="81" max="86" width="22.5546875" customWidth="1"/>
    <col min="87" max="87" width="13.88671875" customWidth="1"/>
  </cols>
  <sheetData>
    <row r="1" spans="1:79" ht="123" customHeight="1" thickBot="1" x14ac:dyDescent="0.35">
      <c r="B1"/>
      <c r="D1" s="744" t="s">
        <v>762</v>
      </c>
      <c r="E1" s="745"/>
      <c r="F1" s="745"/>
      <c r="G1" s="745"/>
      <c r="H1" s="746"/>
      <c r="I1"/>
      <c r="J1"/>
      <c r="K1"/>
      <c r="L1"/>
    </row>
    <row r="2" spans="1:79" ht="15" customHeight="1" x14ac:dyDescent="0.35">
      <c r="A2" s="64" t="s">
        <v>761</v>
      </c>
      <c r="T2" s="1" t="s">
        <v>421</v>
      </c>
      <c r="U2" s="1"/>
      <c r="V2" s="1"/>
      <c r="W2"/>
      <c r="X2"/>
      <c r="Y2"/>
      <c r="Z2"/>
      <c r="AA2"/>
      <c r="AB2"/>
      <c r="AC2"/>
      <c r="AD2"/>
      <c r="AE2"/>
      <c r="AF2"/>
      <c r="AG2"/>
      <c r="AH2"/>
      <c r="AI2"/>
      <c r="AK2" s="1" t="s">
        <v>427</v>
      </c>
      <c r="AL2" s="1"/>
      <c r="AM2" s="1"/>
      <c r="AN2"/>
      <c r="AO2"/>
      <c r="AP2"/>
      <c r="AQ2"/>
      <c r="AR2"/>
      <c r="AS2"/>
      <c r="AT2"/>
      <c r="AU2"/>
      <c r="AV2"/>
      <c r="AW2"/>
      <c r="AX2"/>
      <c r="AY2"/>
      <c r="AZ2"/>
      <c r="BB2" s="1" t="s">
        <v>329</v>
      </c>
      <c r="BC2" s="1"/>
      <c r="BD2" s="1"/>
      <c r="BS2" s="29" t="s">
        <v>408</v>
      </c>
    </row>
    <row r="3" spans="1:79" ht="114.75" customHeight="1" x14ac:dyDescent="0.3">
      <c r="A3" s="105" t="s">
        <v>53</v>
      </c>
      <c r="B3" s="105" t="s">
        <v>175</v>
      </c>
      <c r="C3" s="105" t="s">
        <v>54</v>
      </c>
      <c r="D3" s="105" t="s">
        <v>55</v>
      </c>
      <c r="E3" s="105" t="s">
        <v>56</v>
      </c>
      <c r="F3" s="105" t="s">
        <v>287</v>
      </c>
      <c r="G3" s="105" t="s">
        <v>250</v>
      </c>
      <c r="H3" s="105" t="s">
        <v>176</v>
      </c>
      <c r="I3" s="165" t="s">
        <v>318</v>
      </c>
      <c r="J3" s="105" t="s">
        <v>177</v>
      </c>
      <c r="K3" s="165" t="s">
        <v>302</v>
      </c>
      <c r="L3" s="165" t="s">
        <v>303</v>
      </c>
      <c r="M3" s="165" t="s">
        <v>375</v>
      </c>
      <c r="N3" s="165" t="s">
        <v>400</v>
      </c>
      <c r="O3" s="165" t="s">
        <v>284</v>
      </c>
      <c r="P3" s="165" t="s">
        <v>59</v>
      </c>
      <c r="Q3" s="165" t="s">
        <v>60</v>
      </c>
      <c r="R3" s="165" t="s">
        <v>399</v>
      </c>
      <c r="S3" s="119"/>
      <c r="T3" s="747" t="s">
        <v>58</v>
      </c>
      <c r="U3" s="747"/>
      <c r="V3" s="747" t="s">
        <v>55</v>
      </c>
      <c r="W3" s="747"/>
      <c r="X3" s="747"/>
      <c r="Y3" s="298" t="s">
        <v>403</v>
      </c>
      <c r="Z3" s="298" t="s">
        <v>404</v>
      </c>
      <c r="AA3" s="298" t="s">
        <v>299</v>
      </c>
      <c r="AB3" s="298" t="s">
        <v>304</v>
      </c>
      <c r="AC3" s="298" t="s">
        <v>733</v>
      </c>
      <c r="AD3" s="298" t="s">
        <v>284</v>
      </c>
      <c r="AE3" s="298" t="s">
        <v>323</v>
      </c>
      <c r="AF3" s="298" t="s">
        <v>60</v>
      </c>
      <c r="AG3" s="298" t="s">
        <v>734</v>
      </c>
      <c r="AH3" s="298" t="s">
        <v>735</v>
      </c>
      <c r="AI3" s="298" t="s">
        <v>313</v>
      </c>
      <c r="AJ3" s="119"/>
      <c r="AK3" s="747" t="s">
        <v>58</v>
      </c>
      <c r="AL3" s="747"/>
      <c r="AM3" s="747" t="s">
        <v>55</v>
      </c>
      <c r="AN3" s="747"/>
      <c r="AO3" s="747"/>
      <c r="AP3" s="298" t="s">
        <v>403</v>
      </c>
      <c r="AQ3" s="298" t="s">
        <v>404</v>
      </c>
      <c r="AR3" s="298" t="s">
        <v>299</v>
      </c>
      <c r="AS3" s="298" t="s">
        <v>304</v>
      </c>
      <c r="AT3" s="298" t="s">
        <v>733</v>
      </c>
      <c r="AU3" s="298" t="s">
        <v>284</v>
      </c>
      <c r="AV3" s="298" t="s">
        <v>323</v>
      </c>
      <c r="AW3" s="298" t="s">
        <v>60</v>
      </c>
      <c r="AX3" s="298" t="s">
        <v>734</v>
      </c>
      <c r="AY3" s="298" t="s">
        <v>735</v>
      </c>
      <c r="AZ3" s="298" t="s">
        <v>313</v>
      </c>
      <c r="BA3" s="119"/>
      <c r="BB3" s="805" t="s">
        <v>58</v>
      </c>
      <c r="BC3" s="807"/>
      <c r="BD3" s="805" t="s">
        <v>55</v>
      </c>
      <c r="BE3" s="806"/>
      <c r="BF3" s="807"/>
      <c r="BG3" s="298" t="s">
        <v>403</v>
      </c>
      <c r="BH3" s="298" t="s">
        <v>404</v>
      </c>
      <c r="BI3" s="298" t="s">
        <v>299</v>
      </c>
      <c r="BJ3" s="298" t="s">
        <v>304</v>
      </c>
      <c r="BK3" s="298" t="s">
        <v>733</v>
      </c>
      <c r="BL3" s="298" t="s">
        <v>284</v>
      </c>
      <c r="BM3" s="298" t="s">
        <v>323</v>
      </c>
      <c r="BN3" s="298" t="s">
        <v>60</v>
      </c>
      <c r="BO3" s="298" t="s">
        <v>734</v>
      </c>
      <c r="BP3" s="298" t="s">
        <v>735</v>
      </c>
      <c r="BQ3" s="298" t="s">
        <v>313</v>
      </c>
      <c r="BR3" s="203"/>
      <c r="BS3" s="820" t="s">
        <v>230</v>
      </c>
      <c r="BT3" s="821"/>
      <c r="BU3" s="822"/>
      <c r="BV3" s="164" t="s">
        <v>414</v>
      </c>
      <c r="BW3" s="164" t="s">
        <v>409</v>
      </c>
      <c r="BX3" s="164" t="s">
        <v>410</v>
      </c>
      <c r="BY3" s="164" t="s">
        <v>411</v>
      </c>
      <c r="BZ3" s="164" t="s">
        <v>412</v>
      </c>
      <c r="CA3" s="164" t="s">
        <v>413</v>
      </c>
    </row>
    <row r="4" spans="1:79" ht="15" customHeight="1" x14ac:dyDescent="0.3">
      <c r="A4" s="106">
        <v>1</v>
      </c>
      <c r="B4" s="324">
        <f>'F0 - Données générales'!$C$4</f>
        <v>7</v>
      </c>
      <c r="C4" s="106" t="s">
        <v>95</v>
      </c>
      <c r="D4" s="106"/>
      <c r="E4" s="107"/>
      <c r="F4" s="108"/>
      <c r="G4" s="109"/>
      <c r="H4" s="110">
        <f>E4-G4/2076</f>
        <v>0</v>
      </c>
      <c r="I4" s="177"/>
      <c r="J4" s="118" t="str">
        <f>IF(OR(D4="",F4=""),"",(((HLOOKUP(D4,'Carrières et points'!$A$20:$AD$60,F4+2,FALSE)*'Carrières et points'!$C$7*'Carrières et points'!$C$9)+(HLOOKUP(D4,'Carrières et points'!$A$20:$AD$60,F4+2,FALSE)*'Carrières et points'!$C$13*'Carrières et points'!$C$15))*(1+'F0 - Données générales'!$I$4)+((HLOOKUP(D4,'Carrières et points'!$A$20:$AD$60,F4+2,FALSE)*'Carrières et points'!$C$7*'Carrières et points'!$C$9)+(HLOOKUP(D4,'Carrières et points'!$A$20:$AD$60,F4+2,FALSE)*'Carrières et points'!$C$13*'Carrières et points'!$C$15))/12*(1+'F0 - Données générales'!$L$13))*E4)</f>
        <v/>
      </c>
      <c r="K4" s="118" t="str">
        <f>IF(OR(I4="",J4=""),"",IF(OR(I4&gt;1.05*J4,I4&lt;0.95*J4),"à justifier","ok"))</f>
        <v/>
      </c>
      <c r="L4" s="109"/>
      <c r="M4" s="177"/>
      <c r="N4" s="118" t="str">
        <f t="shared" ref="N4:N68" si="0">IF(I4="","",I4+M4)</f>
        <v/>
      </c>
      <c r="O4" s="177"/>
      <c r="P4" s="177"/>
      <c r="Q4" s="177"/>
      <c r="R4" s="255" t="str">
        <f>IF(N4="","",N4-SUM(O4:Q4))</f>
        <v/>
      </c>
      <c r="S4" s="120"/>
      <c r="T4" s="742" t="s">
        <v>61</v>
      </c>
      <c r="U4" s="742"/>
      <c r="V4" s="26" t="s">
        <v>62</v>
      </c>
      <c r="W4" s="748" t="s">
        <v>63</v>
      </c>
      <c r="X4" s="748"/>
      <c r="Y4" s="181">
        <f>SUMIFS('F3 - Relevé du personnel'!$E$4:$E$281,'F3 - Relevé du personnel'!$D$4:$D$281,$V4,'F3 - Relevé du personnel'!$C$4:$C$281,'F0 - Données générales'!$K$31,'F3 - Relevé du personnel'!$B$4:$B$281,7)</f>
        <v>0</v>
      </c>
      <c r="Z4" s="181">
        <f>SUMIFS('F3 - Relevé du personnel'!$H$4:$H$281,'F3 - Relevé du personnel'!$D$4:$D$281,$V4,'F3 - Relevé du personnel'!$C$4:$C$281,'F0 - Données générales'!$K$31,'F3 - Relevé du personnel'!$B$4:$B$281,7)</f>
        <v>0</v>
      </c>
      <c r="AA4" s="256">
        <f>SUMIFS('F3 - Relevé du personnel'!$I$4:$I$281,'F3 - Relevé du personnel'!$D$4:$D$281,$V4,'F3 - Relevé du personnel'!$C$4:$C$281,'F0 - Données générales'!$K$31,'F3 - Relevé du personnel'!$B$4:$B$281,7)</f>
        <v>0</v>
      </c>
      <c r="AB4" s="256">
        <f>SUMIFS('F3 - Relevé du personnel'!$M$4:$M$281,'F3 - Relevé du personnel'!$D$4:$D$281,$V4,'F3 - Relevé du personnel'!$C$4:$C$281,'F0 - Données générales'!$K$31,'F3 - Relevé du personnel'!$B$4:$B$281,7)</f>
        <v>0</v>
      </c>
      <c r="AC4" s="196">
        <f t="shared" ref="AC4:AC33" si="1">(AA4+AB4)</f>
        <v>0</v>
      </c>
      <c r="AD4" s="256">
        <f>SUMIFS('F3 - Relevé du personnel'!$O$4:$O$281,'F3 - Relevé du personnel'!$D$4:$D$281,$V4,'F3 - Relevé du personnel'!$C$4:$C$281,'F0 - Données générales'!$K$31,'F3 - Relevé du personnel'!$B$4:$B$281,7)</f>
        <v>0</v>
      </c>
      <c r="AE4" s="256">
        <f>SUMIFS('F3 - Relevé du personnel'!$P$4:$P$281,'F3 - Relevé du personnel'!$D$4:$D$281,$V4,'F3 - Relevé du personnel'!$C$4:$C$281,'F0 - Données générales'!$K$31,'F3 - Relevé du personnel'!$B$4:$B$281,7)</f>
        <v>0</v>
      </c>
      <c r="AF4" s="256">
        <f>SUMIFS('F3 - Relevé du personnel'!$Q$4:$Q$281,'F3 - Relevé du personnel'!$D$4:$D$281,$V4,'F3 - Relevé du personnel'!$C$4:$C$281,'F0 - Données générales'!$K$31,'F3 - Relevé du personnel'!$B$4:$B$281,7)</f>
        <v>0</v>
      </c>
      <c r="AG4" s="182">
        <f t="shared" ref="AG4:AG33" si="2">AA4+AB4-SUM(AD4:AF4)</f>
        <v>0</v>
      </c>
      <c r="AH4" s="197" t="str">
        <f>IF(Y4=0,"",(AG4)/Y4)</f>
        <v/>
      </c>
      <c r="AI4" s="198" t="str">
        <f>IF(Y4=0,"",(SUMPRODUCT(($D$4:$D$253=V4)*($C$4:$C$253='F0 - Données générales'!$K$31)*($E$4:$E$253)*($F$4:$F$253)*($B$4:$B$253=7))+SUMPRODUCT(($D$257:$D$281=V4)*($C$257:$C$281='F0 - Données générales'!$K$31)*($B$257:$B$281=7)*($E$257:$E$281)*($F$257:$F$281)))/(SUMIFS('F3 - Relevé du personnel'!$E$4:$E$281,'F3 - Relevé du personnel'!$D$4:$D$281,$V4,'F3 - Relevé du personnel'!$C$4:$C$281,'F0 - Données générales'!$K$31,'F3 - Relevé du personnel'!$B$4:$B$281,7)))</f>
        <v/>
      </c>
      <c r="AJ4" s="120"/>
      <c r="AK4" s="742" t="s">
        <v>61</v>
      </c>
      <c r="AL4" s="742"/>
      <c r="AM4" s="26" t="s">
        <v>62</v>
      </c>
      <c r="AN4" s="748" t="s">
        <v>63</v>
      </c>
      <c r="AO4" s="748"/>
      <c r="AP4" s="181">
        <f>SUMIFS('F3 - Relevé du personnel'!$E$4:$E$281,'F3 - Relevé du personnel'!$D$4:$D$281,$AM4,'F3 - Relevé du personnel'!$C$4:$C$281,'F0 - Données générales'!$K$31,'F3 - Relevé du personnel'!$B$4:$B$281,"base-ortho")</f>
        <v>0</v>
      </c>
      <c r="AQ4" s="181">
        <f>SUMIFS('F3 - Relevé du personnel'!$H$4:$H$281,'F3 - Relevé du personnel'!$D$4:$D$281,$AM4,'F3 - Relevé du personnel'!$C$4:$C$281,'F0 - Données générales'!$K$31,'F3 - Relevé du personnel'!$B$4:$B$281,"base-ortho")</f>
        <v>0</v>
      </c>
      <c r="AR4" s="256">
        <f>SUMIFS('F3 - Relevé du personnel'!$I$4:$I$281,'F3 - Relevé du personnel'!$D$4:$D$281,$AM4,'F3 - Relevé du personnel'!$C$4:$C$281,'F0 - Données générales'!$K$31,'F3 - Relevé du personnel'!$B$4:$B$281,"base-ortho")</f>
        <v>0</v>
      </c>
      <c r="AS4" s="256">
        <f>SUMIFS('F3 - Relevé du personnel'!$M$4:$M$281,'F3 - Relevé du personnel'!$D$4:$D$281,$AM4,'F3 - Relevé du personnel'!$C$4:$C$281,'F0 - Données générales'!$K$31,'F3 - Relevé du personnel'!$B$4:$B$281,"base-ortho")</f>
        <v>0</v>
      </c>
      <c r="AT4" s="196">
        <f>(AR4+AS4)</f>
        <v>0</v>
      </c>
      <c r="AU4" s="256">
        <f>SUMIFS('F3 - Relevé du personnel'!$O$4:$O$281,'F3 - Relevé du personnel'!$D$4:$D$281,$AM4,'F3 - Relevé du personnel'!$C$4:$C$281,'F0 - Données générales'!$K$31,'F3 - Relevé du personnel'!$B$4:$B$281,"base-ortho")</f>
        <v>0</v>
      </c>
      <c r="AV4" s="256">
        <f>SUMIFS('F3 - Relevé du personnel'!$P$4:$P$281,'F3 - Relevé du personnel'!$D$4:$D$281,$AM4,'F3 - Relevé du personnel'!$C$4:$C$281,'F0 - Données générales'!$K$31,'F3 - Relevé du personnel'!$B$4:$B$281,"base-ortho")</f>
        <v>0</v>
      </c>
      <c r="AW4" s="256">
        <f>SUMIFS('F3 - Relevé du personnel'!$Q$4:$Q$281,'F3 - Relevé du personnel'!$D$4:$D$281,$AM4,'F3 - Relevé du personnel'!$C$4:$C$281,'F0 - Données générales'!$K$31,'F3 - Relevé du personnel'!$B$4:$B$281,"base-ortho")</f>
        <v>0</v>
      </c>
      <c r="AX4" s="182">
        <f>AR4+AS4-SUM(AU4:AW4)</f>
        <v>0</v>
      </c>
      <c r="AY4" s="197" t="str">
        <f>IF(AP4=0,"",(AX4)/AP4)</f>
        <v/>
      </c>
      <c r="AZ4" s="198" t="str">
        <f>IF(AP4=0,"",(SUMPRODUCT(($D$4:$D$253=AM4)*($C$4:$C$253='F0 - Données générales'!$K$31)*($E$4:$E$253)*($F$4:$F$253)*($B$4:$B$253="base-ortho"))+SUMPRODUCT(($D$257:$D$281=AM4)*($C$257:$C$281='F0 - Données générales'!$K$31)*($B$257:$B$281="base-ortho")*($E$257:$E$281)*($F$257:$F$281)))/(SUMIFS('F3 - Relevé du personnel'!$E$4:$E$281,'F3 - Relevé du personnel'!$D$4:$D$281,$AM4,'F3 - Relevé du personnel'!$C$4:$C$281,'F0 - Données générales'!$K$31,'F3 - Relevé du personnel'!$B$4:$B$281,"base-ortho")))</f>
        <v/>
      </c>
      <c r="BA4" s="120"/>
      <c r="BB4" s="796" t="s">
        <v>61</v>
      </c>
      <c r="BC4" s="797"/>
      <c r="BD4" s="26" t="s">
        <v>62</v>
      </c>
      <c r="BE4" s="803" t="s">
        <v>63</v>
      </c>
      <c r="BF4" s="804"/>
      <c r="BG4" s="181">
        <f>SUMIFS('F3 - Relevé du personnel'!$E$4:$E$281,'F3 - Relevé du personnel'!$D$4:$D$281,$BD4,'F3 - Relevé du personnel'!$C$4:$C$281,'F0 - Données générales'!$K$31)</f>
        <v>0</v>
      </c>
      <c r="BH4" s="181">
        <f>SUMIFS('F3 - Relevé du personnel'!$H$4:$H$281,'F3 - Relevé du personnel'!$D$4:$D$281,$BD4,'F3 - Relevé du personnel'!$C$4:$C$281,'F0 - Données générales'!$K$31)</f>
        <v>0</v>
      </c>
      <c r="BI4" s="256">
        <f>SUMIFS('F3 - Relevé du personnel'!$I$4:$I$281,'F3 - Relevé du personnel'!$D$4:$D$281,$BD4,'F3 - Relevé du personnel'!$C$4:$C$281,'F0 - Données générales'!$K$31)</f>
        <v>0</v>
      </c>
      <c r="BJ4" s="256">
        <f>SUMIFS('F3 - Relevé du personnel'!$M$4:$M$281,'F3 - Relevé du personnel'!$D$4:$D$281,$BD4,'F3 - Relevé du personnel'!$C$4:$C$281,'F0 - Données générales'!$K$31)</f>
        <v>0</v>
      </c>
      <c r="BK4" s="196">
        <f t="shared" ref="BK4:BK33" si="3">(BI4+BJ4)</f>
        <v>0</v>
      </c>
      <c r="BL4" s="256">
        <f>SUMIFS('F3 - Relevé du personnel'!$O$4:$O$281,'F3 - Relevé du personnel'!$D$4:$D$281,$BD4,'F3 - Relevé du personnel'!$C$4:$C$281,'F0 - Données générales'!$K$31)</f>
        <v>0</v>
      </c>
      <c r="BM4" s="256">
        <f>SUMIFS('F3 - Relevé du personnel'!$P$4:$P$281,'F3 - Relevé du personnel'!$D$4:$D$281,$BD4,'F3 - Relevé du personnel'!$C$4:$C$281,'F0 - Données générales'!$K$31)</f>
        <v>0</v>
      </c>
      <c r="BN4" s="256">
        <f>SUMIFS('F3 - Relevé du personnel'!$Q$4:$Q$281,'F3 - Relevé du personnel'!$D$4:$D$281,$BD4,'F3 - Relevé du personnel'!$C$4:$C$281,'F0 - Données générales'!$K$31)</f>
        <v>0</v>
      </c>
      <c r="BO4" s="182">
        <f t="shared" ref="BO4:BO33" si="4">BI4+BJ4-SUM(BL4:BN4)</f>
        <v>0</v>
      </c>
      <c r="BP4" s="197" t="str">
        <f>IF(BG4=0,"",(BO4)/BG4)</f>
        <v/>
      </c>
      <c r="BQ4" s="198" t="str">
        <f>IF(BG4=0,"",(SUMPRODUCT(($D$4:$D$253=BD4)*($C$4:$C$253='F0 - Données générales'!$K$31)*($E$4:$E$253)*($F$4:$F$253))+SUMPRODUCT(($D$257:$D$281=BD4)*($C$257:$C$281='F0 - Données générales'!$K$31)*($E$257:$E$281)*($F$257:$F$281)))/(SUMIFS('F3 - Relevé du personnel'!$E$4:$E$281,'F3 - Relevé du personnel'!$D$4:$D$281,$BD4,'F3 - Relevé du personnel'!$C$4:$C$281,'F0 - Données générales'!$K$31)))</f>
        <v/>
      </c>
      <c r="BR4" s="204"/>
      <c r="BS4" s="784" t="s">
        <v>79</v>
      </c>
      <c r="BT4" s="785"/>
      <c r="BU4" s="91" t="s">
        <v>228</v>
      </c>
      <c r="BV4" s="282">
        <f ca="1">SUMIF($BB$4:$BC$32,$BS4,BH$4:BH$32)</f>
        <v>0</v>
      </c>
      <c r="BW4" s="92">
        <f ca="1">SUMIF($BB$4:$BC$32,$BS4,BG$4:BG$32)</f>
        <v>0</v>
      </c>
      <c r="BX4" s="92">
        <f ca="1">SUMIF($BB$43:$BC$71,$BS4,$BG$43:$BG$71)</f>
        <v>0</v>
      </c>
      <c r="BY4" s="93">
        <f ca="1">SUMIF($BB$82:$BC$110,$BS4,$BG$82:$BG$110)</f>
        <v>0</v>
      </c>
      <c r="BZ4" s="93">
        <f ca="1">SUMIF($BB$121:$BC$149,$BS4,$BG$121:$BG$149)</f>
        <v>0</v>
      </c>
      <c r="CA4" s="94">
        <f ca="1">SUM(BW4:BZ4)</f>
        <v>0</v>
      </c>
    </row>
    <row r="5" spans="1:79" ht="15" customHeight="1" x14ac:dyDescent="0.3">
      <c r="A5" s="106">
        <v>2</v>
      </c>
      <c r="B5" s="324">
        <f>'F0 - Données générales'!$C$4</f>
        <v>7</v>
      </c>
      <c r="C5" s="106" t="s">
        <v>95</v>
      </c>
      <c r="D5" s="106"/>
      <c r="E5" s="107"/>
      <c r="F5" s="108"/>
      <c r="G5" s="109"/>
      <c r="H5" s="110">
        <f t="shared" ref="H5:H68" si="5">E5-G5/2076</f>
        <v>0</v>
      </c>
      <c r="I5" s="177"/>
      <c r="J5" s="118" t="str">
        <f>IF(OR(D5="",F5=""),"",(((HLOOKUP(D5,'Carrières et points'!$A$20:$AD$60,F5+2,FALSE)*'Carrières et points'!$C$7*'Carrières et points'!$C$9)+(HLOOKUP(D5,'Carrières et points'!$A$20:$AD$60,F5+2,FALSE)*'Carrières et points'!$C$13*'Carrières et points'!$C$15))*(1+'F0 - Données générales'!$I$4)+((HLOOKUP(D5,'Carrières et points'!$A$20:$AD$60,F5+2,FALSE)*'Carrières et points'!$C$7*'Carrières et points'!$C$9)+(HLOOKUP(D5,'Carrières et points'!$A$20:$AD$60,F5+2,FALSE)*'Carrières et points'!$C$13*'Carrières et points'!$C$15))/12*(1+'F0 - Données générales'!$L$13))*E5)</f>
        <v/>
      </c>
      <c r="K5" s="118" t="str">
        <f t="shared" ref="K5:K68" si="6">IF(OR(I5="",J5=""),"",IF(OR(J5&gt;1.05*I5,J5&lt;0.95*I5),"à justifier","ok"))</f>
        <v/>
      </c>
      <c r="L5" s="109"/>
      <c r="M5" s="177"/>
      <c r="N5" s="118" t="str">
        <f t="shared" si="0"/>
        <v/>
      </c>
      <c r="O5" s="177"/>
      <c r="P5" s="177"/>
      <c r="Q5" s="177"/>
      <c r="R5" s="255" t="str">
        <f t="shared" ref="R5:R68" si="7">IF(N5="","",N5-SUM(O5:Q5))</f>
        <v/>
      </c>
      <c r="S5" s="120"/>
      <c r="T5" s="742" t="s">
        <v>65</v>
      </c>
      <c r="U5" s="742"/>
      <c r="V5" s="26" t="s">
        <v>66</v>
      </c>
      <c r="W5" s="741" t="s">
        <v>67</v>
      </c>
      <c r="X5" s="741"/>
      <c r="Y5" s="181">
        <f>SUMIFS('F3 - Relevé du personnel'!$E$4:$E$281,'F3 - Relevé du personnel'!$D$4:$D$281,$V5,'F3 - Relevé du personnel'!$C$4:$C$281,'F0 - Données générales'!$K$31,'F3 - Relevé du personnel'!$B$4:$B$281,7)</f>
        <v>0</v>
      </c>
      <c r="Z5" s="181">
        <f>SUMIFS('F3 - Relevé du personnel'!$H$4:$H$281,'F3 - Relevé du personnel'!$D$4:$D$281,$V5,'F3 - Relevé du personnel'!$C$4:$C$281,'F0 - Données générales'!$K$31,'F3 - Relevé du personnel'!$B$4:$B$281,7)</f>
        <v>0</v>
      </c>
      <c r="AA5" s="256">
        <f>SUMIFS('F3 - Relevé du personnel'!$I$4:$I$281,'F3 - Relevé du personnel'!$D$4:$D$281,$V5,'F3 - Relevé du personnel'!$C$4:$C$281,'F0 - Données générales'!$K$31,'F3 - Relevé du personnel'!$B$4:$B$281,7)</f>
        <v>0</v>
      </c>
      <c r="AB5" s="256">
        <f>SUMIFS('F3 - Relevé du personnel'!$M$4:$M$281,'F3 - Relevé du personnel'!$D$4:$D$281,$V5,'F3 - Relevé du personnel'!$C$4:$C$281,'F0 - Données générales'!$K$31,'F3 - Relevé du personnel'!$B$4:$B$281,7)</f>
        <v>0</v>
      </c>
      <c r="AC5" s="196">
        <f t="shared" si="1"/>
        <v>0</v>
      </c>
      <c r="AD5" s="256">
        <f>SUMIFS('F3 - Relevé du personnel'!$O$4:$O$281,'F3 - Relevé du personnel'!$D$4:$D$281,$V5,'F3 - Relevé du personnel'!$C$4:$C$281,'F0 - Données générales'!$K$31,'F3 - Relevé du personnel'!$B$4:$B$281,7)</f>
        <v>0</v>
      </c>
      <c r="AE5" s="256">
        <f>SUMIFS('F3 - Relevé du personnel'!$P$4:$P$281,'F3 - Relevé du personnel'!$D$4:$D$281,$V5,'F3 - Relevé du personnel'!$C$4:$C$281,'F0 - Données générales'!$K$31,'F3 - Relevé du personnel'!$B$4:$B$281,7)</f>
        <v>0</v>
      </c>
      <c r="AF5" s="256">
        <f>SUMIFS('F3 - Relevé du personnel'!$Q$4:$Q$281,'F3 - Relevé du personnel'!$D$4:$D$281,$V5,'F3 - Relevé du personnel'!$C$4:$C$281,'F0 - Données générales'!$K$31,'F3 - Relevé du personnel'!$B$4:$B$281,7)</f>
        <v>0</v>
      </c>
      <c r="AG5" s="182">
        <f t="shared" si="2"/>
        <v>0</v>
      </c>
      <c r="AH5" s="197" t="str">
        <f t="shared" ref="AH5:AH34" si="8">IF(Y5=0,"",(AG5)/Y5)</f>
        <v/>
      </c>
      <c r="AI5" s="198" t="str">
        <f>IF(Y5=0,"",(SUMPRODUCT(($D$4:$D$253=V5)*($C$4:$C$253='F0 - Données générales'!$K$31)*($E$4:$E$253)*($F$4:$F$253)*($B$4:$B$253=7))+SUMPRODUCT(($D$257:$D$281=V5)*($C$257:$C$281='F0 - Données générales'!$K$31)*($B$257:$B$281=7)*($E$257:$E$281)*($F$257:$F$281)))/(SUMIFS('F3 - Relevé du personnel'!$E$4:$E$281,'F3 - Relevé du personnel'!$D$4:$D$281,$V5,'F3 - Relevé du personnel'!$C$4:$C$281,'F0 - Données générales'!$K$31,'F3 - Relevé du personnel'!$B$4:$B$281,7)))</f>
        <v/>
      </c>
      <c r="AJ5" s="120"/>
      <c r="AK5" s="742" t="s">
        <v>65</v>
      </c>
      <c r="AL5" s="742"/>
      <c r="AM5" s="26" t="s">
        <v>66</v>
      </c>
      <c r="AN5" s="741" t="s">
        <v>67</v>
      </c>
      <c r="AO5" s="741"/>
      <c r="AP5" s="181">
        <f>SUMIFS('F3 - Relevé du personnel'!$E$4:$E$281,'F3 - Relevé du personnel'!$D$4:$D$281,$AM5,'F3 - Relevé du personnel'!$C$4:$C$281,'F0 - Données générales'!$K$31,'F3 - Relevé du personnel'!$B$4:$B$281,"base-ortho")</f>
        <v>0</v>
      </c>
      <c r="AQ5" s="181">
        <f>SUMIFS('F3 - Relevé du personnel'!$H$4:$H$281,'F3 - Relevé du personnel'!$D$4:$D$281,$AM5,'F3 - Relevé du personnel'!$C$4:$C$281,'F0 - Données générales'!$K$31,'F3 - Relevé du personnel'!$B$4:$B$281,"base-ortho")</f>
        <v>0</v>
      </c>
      <c r="AR5" s="256">
        <f>SUMIFS('F3 - Relevé du personnel'!$I$4:$I$281,'F3 - Relevé du personnel'!$D$4:$D$281,$AM5,'F3 - Relevé du personnel'!$C$4:$C$281,'F0 - Données générales'!$K$31,'F3 - Relevé du personnel'!$B$4:$B$281,"base-ortho")</f>
        <v>0</v>
      </c>
      <c r="AS5" s="256">
        <f>SUMIFS('F3 - Relevé du personnel'!$M$4:$M$281,'F3 - Relevé du personnel'!$D$4:$D$281,$AM5,'F3 - Relevé du personnel'!$C$4:$C$281,'F0 - Données générales'!$K$31,'F3 - Relevé du personnel'!$B$4:$B$281,"base-ortho")</f>
        <v>0</v>
      </c>
      <c r="AT5" s="196">
        <f t="shared" ref="AT5:AT12" si="9">(AR5+AS5)</f>
        <v>0</v>
      </c>
      <c r="AU5" s="256">
        <f>SUMIFS('F3 - Relevé du personnel'!$O$4:$O$281,'F3 - Relevé du personnel'!$D$4:$D$281,$AM5,'F3 - Relevé du personnel'!$C$4:$C$281,'F0 - Données générales'!$K$31,'F3 - Relevé du personnel'!$B$4:$B$281,"base-ortho")</f>
        <v>0</v>
      </c>
      <c r="AV5" s="256">
        <f>SUMIFS('F3 - Relevé du personnel'!$P$4:$P$281,'F3 - Relevé du personnel'!$D$4:$D$281,$AM5,'F3 - Relevé du personnel'!$C$4:$C$281,'F0 - Données générales'!$K$31,'F3 - Relevé du personnel'!$B$4:$B$281,"base-ortho")</f>
        <v>0</v>
      </c>
      <c r="AW5" s="256">
        <f>SUMIFS('F3 - Relevé du personnel'!$Q$4:$Q$281,'F3 - Relevé du personnel'!$D$4:$D$281,$AM5,'F3 - Relevé du personnel'!$C$4:$C$281,'F0 - Données générales'!$K$31,'F3 - Relevé du personnel'!$B$4:$B$281,"base-ortho")</f>
        <v>0</v>
      </c>
      <c r="AX5" s="182">
        <f t="shared" ref="AX5:AX12" si="10">AR5+AS5-SUM(AU5:AW5)</f>
        <v>0</v>
      </c>
      <c r="AY5" s="197" t="str">
        <f t="shared" ref="AY5:AY12" si="11">IF(AP5=0,"",(AX5)/AP5)</f>
        <v/>
      </c>
      <c r="AZ5" s="198" t="str">
        <f>IF(AP5=0,"",(SUMPRODUCT(($D$4:$D$253=AM5)*($C$4:$C$253='F0 - Données générales'!$K$31)*($E$4:$E$253)*($F$4:$F$253)*($B$4:$B$253="base-ortho"))+SUMPRODUCT(($D$257:$D$281=AM5)*($C$257:$C$281='F0 - Données générales'!$K$31)*($B$257:$B$281="base-ortho")*($E$257:$E$281)*($F$257:$F$281)))/(SUMIFS('F3 - Relevé du personnel'!$E$4:$E$281,'F3 - Relevé du personnel'!$D$4:$D$281,$AM5,'F3 - Relevé du personnel'!$C$4:$C$281,'F0 - Données générales'!$K$31,'F3 - Relevé du personnel'!$B$4:$B$281,"base-ortho")))</f>
        <v/>
      </c>
      <c r="BA5" s="120"/>
      <c r="BB5" s="796" t="s">
        <v>65</v>
      </c>
      <c r="BC5" s="797"/>
      <c r="BD5" s="26" t="s">
        <v>66</v>
      </c>
      <c r="BE5" s="801" t="s">
        <v>67</v>
      </c>
      <c r="BF5" s="802"/>
      <c r="BG5" s="181">
        <f>SUMIFS('F3 - Relevé du personnel'!$E$4:$E$281,'F3 - Relevé du personnel'!$D$4:$D$281,$BD5,'F3 - Relevé du personnel'!$C$4:$C$281,'F0 - Données générales'!$K$31)</f>
        <v>0</v>
      </c>
      <c r="BH5" s="181">
        <f>SUMIFS('F3 - Relevé du personnel'!$H$4:$H$281,'F3 - Relevé du personnel'!$D$4:$D$281,$BD5,'F3 - Relevé du personnel'!$C$4:$C$281,'F0 - Données générales'!$K$31)</f>
        <v>0</v>
      </c>
      <c r="BI5" s="256">
        <f>SUMIFS('F3 - Relevé du personnel'!$I$4:$I$281,'F3 - Relevé du personnel'!$D$4:$D$281,$BD5,'F3 - Relevé du personnel'!$C$4:$C$281,'F0 - Données générales'!$K$31)</f>
        <v>0</v>
      </c>
      <c r="BJ5" s="256">
        <f>SUMIFS('F3 - Relevé du personnel'!$M$4:$M$281,'F3 - Relevé du personnel'!$D$4:$D$281,$BD5,'F3 - Relevé du personnel'!$C$4:$C$281,'F0 - Données générales'!$K$31)</f>
        <v>0</v>
      </c>
      <c r="BK5" s="196">
        <f t="shared" si="3"/>
        <v>0</v>
      </c>
      <c r="BL5" s="256">
        <f>SUMIFS('F3 - Relevé du personnel'!$O$4:$O$281,'F3 - Relevé du personnel'!$D$4:$D$281,$BD5,'F3 - Relevé du personnel'!$C$4:$C$281,'F0 - Données générales'!$K$31)</f>
        <v>0</v>
      </c>
      <c r="BM5" s="256">
        <f>SUMIFS('F3 - Relevé du personnel'!$P$4:$P$281,'F3 - Relevé du personnel'!$D$4:$D$281,$BD5,'F3 - Relevé du personnel'!$C$4:$C$281,'F0 - Données générales'!$K$31)</f>
        <v>0</v>
      </c>
      <c r="BN5" s="256">
        <f>SUMIFS('F3 - Relevé du personnel'!$Q$4:$Q$281,'F3 - Relevé du personnel'!$D$4:$D$281,$BD5,'F3 - Relevé du personnel'!$C$4:$C$281,'F0 - Données générales'!$K$31)</f>
        <v>0</v>
      </c>
      <c r="BO5" s="182">
        <f t="shared" si="4"/>
        <v>0</v>
      </c>
      <c r="BP5" s="197" t="str">
        <f t="shared" ref="BP5:BP34" si="12">IF(BG5=0,"",(BO5)/BG5)</f>
        <v/>
      </c>
      <c r="BQ5" s="198" t="str">
        <f>IF(BG5=0,"",(SUMPRODUCT(($D$4:$D$253=BD5)*($C$4:$C$253='F0 - Données générales'!$K$31)*($E$4:$E$253)*($F$4:$F$253))+SUMPRODUCT(($D$257:$D$281=BD5)*($C$257:$C$281='F0 - Données générales'!$K$31)*($E$257:$E$281)*($F$257:$F$281)))/(SUMIFS('F3 - Relevé du personnel'!$E$4:$E$281,'F3 - Relevé du personnel'!$D$4:$D$281,$BD5,'F3 - Relevé du personnel'!$C$4:$C$281,'F0 - Données générales'!$K$31)))</f>
        <v/>
      </c>
      <c r="BR5" s="40"/>
      <c r="BS5" s="786"/>
      <c r="BT5" s="787"/>
      <c r="BU5" s="95" t="s">
        <v>229</v>
      </c>
      <c r="BV5" s="283">
        <f t="shared" ref="BV5:CA5" ca="1" si="13">IF(BV4=0,0,BV4/BV$12)</f>
        <v>0</v>
      </c>
      <c r="BW5" s="71">
        <f t="shared" ca="1" si="13"/>
        <v>0</v>
      </c>
      <c r="BX5" s="71">
        <f t="shared" ca="1" si="13"/>
        <v>0</v>
      </c>
      <c r="BY5" s="71">
        <f t="shared" ca="1" si="13"/>
        <v>0</v>
      </c>
      <c r="BZ5" s="71">
        <f t="shared" ca="1" si="13"/>
        <v>0</v>
      </c>
      <c r="CA5" s="30">
        <f t="shared" ca="1" si="13"/>
        <v>0</v>
      </c>
    </row>
    <row r="6" spans="1:79" x14ac:dyDescent="0.3">
      <c r="A6" s="106">
        <v>3</v>
      </c>
      <c r="B6" s="324">
        <f>'F0 - Données générales'!$C$4</f>
        <v>7</v>
      </c>
      <c r="C6" s="106" t="s">
        <v>95</v>
      </c>
      <c r="D6" s="106"/>
      <c r="E6" s="107"/>
      <c r="F6" s="108"/>
      <c r="G6" s="109"/>
      <c r="H6" s="110">
        <f t="shared" si="5"/>
        <v>0</v>
      </c>
      <c r="I6" s="177"/>
      <c r="J6" s="118" t="str">
        <f>IF(OR(D6="",F6=""),"",(((HLOOKUP(D6,'Carrières et points'!$A$20:$AD$60,F6+2,FALSE)*'Carrières et points'!$C$7*'Carrières et points'!$C$9)+(HLOOKUP(D6,'Carrières et points'!$A$20:$AD$60,F6+2,FALSE)*'Carrières et points'!$C$13*'Carrières et points'!$C$15))*(1+'F0 - Données générales'!$I$4)+((HLOOKUP(D6,'Carrières et points'!$A$20:$AD$60,F6+2,FALSE)*'Carrières et points'!$C$7*'Carrières et points'!$C$9)+(HLOOKUP(D6,'Carrières et points'!$A$20:$AD$60,F6+2,FALSE)*'Carrières et points'!$C$13*'Carrières et points'!$C$15))/12*(1+'F0 - Données générales'!$L$13))*E6)</f>
        <v/>
      </c>
      <c r="K6" s="118" t="str">
        <f t="shared" si="6"/>
        <v/>
      </c>
      <c r="L6" s="109"/>
      <c r="M6" s="177"/>
      <c r="N6" s="118" t="str">
        <f t="shared" si="0"/>
        <v/>
      </c>
      <c r="O6" s="177"/>
      <c r="P6" s="177"/>
      <c r="Q6" s="177"/>
      <c r="R6" s="255" t="str">
        <f t="shared" si="7"/>
        <v/>
      </c>
      <c r="S6" s="120"/>
      <c r="T6" s="742" t="s">
        <v>61</v>
      </c>
      <c r="U6" s="742"/>
      <c r="V6" s="26" t="s">
        <v>68</v>
      </c>
      <c r="W6" s="741" t="s">
        <v>69</v>
      </c>
      <c r="X6" s="741"/>
      <c r="Y6" s="181">
        <f>SUMIFS('F3 - Relevé du personnel'!$E$4:$E$281,'F3 - Relevé du personnel'!$D$4:$D$281,$V6,'F3 - Relevé du personnel'!$C$4:$C$281,'F0 - Données générales'!$K$31,'F3 - Relevé du personnel'!$B$4:$B$281,7)</f>
        <v>0</v>
      </c>
      <c r="Z6" s="181">
        <f>SUMIFS('F3 - Relevé du personnel'!$H$4:$H$281,'F3 - Relevé du personnel'!$D$4:$D$281,$V6,'F3 - Relevé du personnel'!$C$4:$C$281,'F0 - Données générales'!$K$31,'F3 - Relevé du personnel'!$B$4:$B$281,7)</f>
        <v>0</v>
      </c>
      <c r="AA6" s="256">
        <f>SUMIFS('F3 - Relevé du personnel'!$I$4:$I$281,'F3 - Relevé du personnel'!$D$4:$D$281,$V6,'F3 - Relevé du personnel'!$C$4:$C$281,'F0 - Données générales'!$K$31,'F3 - Relevé du personnel'!$B$4:$B$281,7)</f>
        <v>0</v>
      </c>
      <c r="AB6" s="256">
        <f>SUMIFS('F3 - Relevé du personnel'!$M$4:$M$281,'F3 - Relevé du personnel'!$D$4:$D$281,$V6,'F3 - Relevé du personnel'!$C$4:$C$281,'F0 - Données générales'!$K$31,'F3 - Relevé du personnel'!$B$4:$B$281,7)</f>
        <v>0</v>
      </c>
      <c r="AC6" s="196">
        <f t="shared" si="1"/>
        <v>0</v>
      </c>
      <c r="AD6" s="256">
        <f>SUMIFS('F3 - Relevé du personnel'!$O$4:$O$281,'F3 - Relevé du personnel'!$D$4:$D$281,$V6,'F3 - Relevé du personnel'!$C$4:$C$281,'F0 - Données générales'!$K$31,'F3 - Relevé du personnel'!$B$4:$B$281,7)</f>
        <v>0</v>
      </c>
      <c r="AE6" s="256">
        <f>SUMIFS('F3 - Relevé du personnel'!$P$4:$P$281,'F3 - Relevé du personnel'!$D$4:$D$281,$V6,'F3 - Relevé du personnel'!$C$4:$C$281,'F0 - Données générales'!$K$31,'F3 - Relevé du personnel'!$B$4:$B$281,7)</f>
        <v>0</v>
      </c>
      <c r="AF6" s="256">
        <f>SUMIFS('F3 - Relevé du personnel'!$Q$4:$Q$281,'F3 - Relevé du personnel'!$D$4:$D$281,$V6,'F3 - Relevé du personnel'!$C$4:$C$281,'F0 - Données générales'!$K$31,'F3 - Relevé du personnel'!$B$4:$B$281,7)</f>
        <v>0</v>
      </c>
      <c r="AG6" s="182">
        <f t="shared" si="2"/>
        <v>0</v>
      </c>
      <c r="AH6" s="197" t="str">
        <f t="shared" si="8"/>
        <v/>
      </c>
      <c r="AI6" s="198" t="str">
        <f>IF(Y6=0,"",(SUMPRODUCT(($D$4:$D$253=V6)*($C$4:$C$253='F0 - Données générales'!$K$31)*($E$4:$E$253)*($F$4:$F$253)*($B$4:$B$253=7))+SUMPRODUCT(($D$257:$D$281=V6)*($C$257:$C$281='F0 - Données générales'!$K$31)*($B$257:$B$281=7)*($E$257:$E$281)*($F$257:$F$281)))/(SUMIFS('F3 - Relevé du personnel'!$E$4:$E$281,'F3 - Relevé du personnel'!$D$4:$D$281,$V6,'F3 - Relevé du personnel'!$C$4:$C$281,'F0 - Données générales'!$K$31,'F3 - Relevé du personnel'!$B$4:$B$281,7)))</f>
        <v/>
      </c>
      <c r="AJ6" s="120"/>
      <c r="AK6" s="742" t="s">
        <v>61</v>
      </c>
      <c r="AL6" s="742"/>
      <c r="AM6" s="26" t="s">
        <v>68</v>
      </c>
      <c r="AN6" s="741" t="s">
        <v>69</v>
      </c>
      <c r="AO6" s="741"/>
      <c r="AP6" s="181">
        <f>SUMIFS('F3 - Relevé du personnel'!$E$4:$E$281,'F3 - Relevé du personnel'!$D$4:$D$281,$AM6,'F3 - Relevé du personnel'!$C$4:$C$281,'F0 - Données générales'!$K$31,'F3 - Relevé du personnel'!$B$4:$B$281,"base-ortho")</f>
        <v>0</v>
      </c>
      <c r="AQ6" s="181">
        <f>SUMIFS('F3 - Relevé du personnel'!$H$4:$H$281,'F3 - Relevé du personnel'!$D$4:$D$281,$AM6,'F3 - Relevé du personnel'!$C$4:$C$281,'F0 - Données générales'!$K$31,'F3 - Relevé du personnel'!$B$4:$B$281,"base-ortho")</f>
        <v>0</v>
      </c>
      <c r="AR6" s="256">
        <f>SUMIFS('F3 - Relevé du personnel'!$I$4:$I$281,'F3 - Relevé du personnel'!$D$4:$D$281,$AM6,'F3 - Relevé du personnel'!$C$4:$C$281,'F0 - Données générales'!$K$31,'F3 - Relevé du personnel'!$B$4:$B$281,"base-ortho")</f>
        <v>0</v>
      </c>
      <c r="AS6" s="256">
        <f>SUMIFS('F3 - Relevé du personnel'!$M$4:$M$281,'F3 - Relevé du personnel'!$D$4:$D$281,$AM6,'F3 - Relevé du personnel'!$C$4:$C$281,'F0 - Données générales'!$K$31,'F3 - Relevé du personnel'!$B$4:$B$281,"base-ortho")</f>
        <v>0</v>
      </c>
      <c r="AT6" s="196">
        <f t="shared" si="9"/>
        <v>0</v>
      </c>
      <c r="AU6" s="256">
        <f>SUMIFS('F3 - Relevé du personnel'!$O$4:$O$281,'F3 - Relevé du personnel'!$D$4:$D$281,$AM6,'F3 - Relevé du personnel'!$C$4:$C$281,'F0 - Données générales'!$K$31,'F3 - Relevé du personnel'!$B$4:$B$281,"base-ortho")</f>
        <v>0</v>
      </c>
      <c r="AV6" s="256">
        <f>SUMIFS('F3 - Relevé du personnel'!$P$4:$P$281,'F3 - Relevé du personnel'!$D$4:$D$281,$AM6,'F3 - Relevé du personnel'!$C$4:$C$281,'F0 - Données générales'!$K$31,'F3 - Relevé du personnel'!$B$4:$B$281,"base-ortho")</f>
        <v>0</v>
      </c>
      <c r="AW6" s="256">
        <f>SUMIFS('F3 - Relevé du personnel'!$Q$4:$Q$281,'F3 - Relevé du personnel'!$D$4:$D$281,$AM6,'F3 - Relevé du personnel'!$C$4:$C$281,'F0 - Données générales'!$K$31,'F3 - Relevé du personnel'!$B$4:$B$281,"base-ortho")</f>
        <v>0</v>
      </c>
      <c r="AX6" s="182">
        <f t="shared" si="10"/>
        <v>0</v>
      </c>
      <c r="AY6" s="197" t="str">
        <f t="shared" si="11"/>
        <v/>
      </c>
      <c r="AZ6" s="198" t="str">
        <f>IF(AP6=0,"",(SUMPRODUCT(($D$4:$D$253=AM6)*($C$4:$C$253='F0 - Données générales'!$K$31)*($E$4:$E$253)*($F$4:$F$253)*($B$4:$B$253="base-ortho"))+SUMPRODUCT(($D$257:$D$281=AM6)*($C$257:$C$281='F0 - Données générales'!$K$31)*($B$257:$B$281="base-ortho")*($E$257:$E$281)*($F$257:$F$281)))/(SUMIFS('F3 - Relevé du personnel'!$E$4:$E$281,'F3 - Relevé du personnel'!$D$4:$D$281,$AM6,'F3 - Relevé du personnel'!$C$4:$C$281,'F0 - Données générales'!$K$31,'F3 - Relevé du personnel'!$B$4:$B$281,"base-ortho")))</f>
        <v/>
      </c>
      <c r="BA6" s="120"/>
      <c r="BB6" s="796" t="s">
        <v>61</v>
      </c>
      <c r="BC6" s="797"/>
      <c r="BD6" s="26" t="s">
        <v>68</v>
      </c>
      <c r="BE6" s="801" t="s">
        <v>69</v>
      </c>
      <c r="BF6" s="802"/>
      <c r="BG6" s="181">
        <f>SUMIFS('F3 - Relevé du personnel'!$E$4:$E$281,'F3 - Relevé du personnel'!$D$4:$D$281,$BD6,'F3 - Relevé du personnel'!$C$4:$C$281,'F0 - Données générales'!$K$31)</f>
        <v>0</v>
      </c>
      <c r="BH6" s="181">
        <f>SUMIFS('F3 - Relevé du personnel'!$H$4:$H$281,'F3 - Relevé du personnel'!$D$4:$D$281,$BD6,'F3 - Relevé du personnel'!$C$4:$C$281,'F0 - Données générales'!$K$31)</f>
        <v>0</v>
      </c>
      <c r="BI6" s="256">
        <f>SUMIFS('F3 - Relevé du personnel'!$I$4:$I$281,'F3 - Relevé du personnel'!$D$4:$D$281,$BD6,'F3 - Relevé du personnel'!$C$4:$C$281,'F0 - Données générales'!$K$31)</f>
        <v>0</v>
      </c>
      <c r="BJ6" s="256">
        <f>SUMIFS('F3 - Relevé du personnel'!$M$4:$M$281,'F3 - Relevé du personnel'!$D$4:$D$281,$BD6,'F3 - Relevé du personnel'!$C$4:$C$281,'F0 - Données générales'!$K$31)</f>
        <v>0</v>
      </c>
      <c r="BK6" s="196">
        <f t="shared" si="3"/>
        <v>0</v>
      </c>
      <c r="BL6" s="256">
        <f>SUMIFS('F3 - Relevé du personnel'!$O$4:$O$281,'F3 - Relevé du personnel'!$D$4:$D$281,$BD6,'F3 - Relevé du personnel'!$C$4:$C$281,'F0 - Données générales'!$K$31)</f>
        <v>0</v>
      </c>
      <c r="BM6" s="256">
        <f>SUMIFS('F3 - Relevé du personnel'!$P$4:$P$281,'F3 - Relevé du personnel'!$D$4:$D$281,$BD6,'F3 - Relevé du personnel'!$C$4:$C$281,'F0 - Données générales'!$K$31)</f>
        <v>0</v>
      </c>
      <c r="BN6" s="256">
        <f>SUMIFS('F3 - Relevé du personnel'!$Q$4:$Q$281,'F3 - Relevé du personnel'!$D$4:$D$281,$BD6,'F3 - Relevé du personnel'!$C$4:$C$281,'F0 - Données générales'!$K$31)</f>
        <v>0</v>
      </c>
      <c r="BO6" s="182">
        <f t="shared" si="4"/>
        <v>0</v>
      </c>
      <c r="BP6" s="197" t="str">
        <f t="shared" si="12"/>
        <v/>
      </c>
      <c r="BQ6" s="198" t="str">
        <f>IF(BG6=0,"",(SUMPRODUCT(($D$4:$D$253=BD6)*($C$4:$C$253='F0 - Données générales'!$K$31)*($E$4:$E$253)*($F$4:$F$253))+SUMPRODUCT(($D$257:$D$281=BD6)*($C$257:$C$281='F0 - Données générales'!$K$31)*($E$257:$E$281)*($F$257:$F$281)))/(SUMIFS('F3 - Relevé du personnel'!$E$4:$E$281,'F3 - Relevé du personnel'!$D$4:$D$281,$BD6,'F3 - Relevé du personnel'!$C$4:$C$281,'F0 - Données générales'!$K$31)))</f>
        <v/>
      </c>
      <c r="BR6" s="40"/>
      <c r="BS6" s="784" t="s">
        <v>65</v>
      </c>
      <c r="BT6" s="785"/>
      <c r="BU6" s="91" t="s">
        <v>228</v>
      </c>
      <c r="BV6" s="282">
        <f ca="1">SUMIF($BB$4:$BC$32,$BS6,BH$4:BH$32)</f>
        <v>0</v>
      </c>
      <c r="BW6" s="92">
        <f ca="1">SUMIF($BB$4:$BC$32,$BS6,BG$4:BG$32)</f>
        <v>0</v>
      </c>
      <c r="BX6" s="92">
        <f ca="1">SUMIF($BB$43:$BC$71,$BS6,$BG$43:$BG$71)</f>
        <v>0</v>
      </c>
      <c r="BY6" s="93">
        <f ca="1">SUMIF($BB$82:$BC$110,$BS6,$BG$82:$BG$110)</f>
        <v>0</v>
      </c>
      <c r="BZ6" s="93">
        <f ca="1">SUMIF($BB$121:$BC$149,$BS6,$BG$121:$BG$149)</f>
        <v>0</v>
      </c>
      <c r="CA6" s="94">
        <f ca="1">SUM(BW6:BZ6)</f>
        <v>0</v>
      </c>
    </row>
    <row r="7" spans="1:79" x14ac:dyDescent="0.3">
      <c r="A7" s="106">
        <v>4</v>
      </c>
      <c r="B7" s="324">
        <f>'F0 - Données générales'!$C$4</f>
        <v>7</v>
      </c>
      <c r="C7" s="106" t="s">
        <v>95</v>
      </c>
      <c r="D7" s="106"/>
      <c r="E7" s="107"/>
      <c r="F7" s="108"/>
      <c r="G7" s="109"/>
      <c r="H7" s="110">
        <f t="shared" si="5"/>
        <v>0</v>
      </c>
      <c r="I7" s="177"/>
      <c r="J7" s="118" t="str">
        <f>IF(OR(D7="",F7=""),"",(((HLOOKUP(D7,'Carrières et points'!$A$20:$AD$60,F7+2,FALSE)*'Carrières et points'!$C$7*'Carrières et points'!$C$9)+(HLOOKUP(D7,'Carrières et points'!$A$20:$AD$60,F7+2,FALSE)*'Carrières et points'!$C$13*'Carrières et points'!$C$15))*(1+'F0 - Données générales'!$I$4)+((HLOOKUP(D7,'Carrières et points'!$A$20:$AD$60,F7+2,FALSE)*'Carrières et points'!$C$7*'Carrières et points'!$C$9)+(HLOOKUP(D7,'Carrières et points'!$A$20:$AD$60,F7+2,FALSE)*'Carrières et points'!$C$13*'Carrières et points'!$C$15))/12*(1+'F0 - Données générales'!$L$13))*E7)</f>
        <v/>
      </c>
      <c r="K7" s="118" t="str">
        <f t="shared" si="6"/>
        <v/>
      </c>
      <c r="L7" s="109"/>
      <c r="M7" s="177"/>
      <c r="N7" s="118" t="str">
        <f t="shared" si="0"/>
        <v/>
      </c>
      <c r="O7" s="177"/>
      <c r="P7" s="177"/>
      <c r="Q7" s="177"/>
      <c r="R7" s="255" t="str">
        <f t="shared" si="7"/>
        <v/>
      </c>
      <c r="S7" s="120"/>
      <c r="T7" s="742" t="s">
        <v>64</v>
      </c>
      <c r="U7" s="742"/>
      <c r="V7" s="26" t="s">
        <v>70</v>
      </c>
      <c r="W7" s="741" t="s">
        <v>71</v>
      </c>
      <c r="X7" s="741"/>
      <c r="Y7" s="181">
        <f>SUMIFS('F3 - Relevé du personnel'!$E$4:$E$281,'F3 - Relevé du personnel'!$D$4:$D$281,$V7,'F3 - Relevé du personnel'!$C$4:$C$281,'F0 - Données générales'!$K$31,'F3 - Relevé du personnel'!$B$4:$B$281,7)</f>
        <v>0</v>
      </c>
      <c r="Z7" s="181">
        <f>SUMIFS('F3 - Relevé du personnel'!$H$4:$H$281,'F3 - Relevé du personnel'!$D$4:$D$281,$V7,'F3 - Relevé du personnel'!$C$4:$C$281,'F0 - Données générales'!$K$31,'F3 - Relevé du personnel'!$B$4:$B$281,7)</f>
        <v>0</v>
      </c>
      <c r="AA7" s="256">
        <f>SUMIFS('F3 - Relevé du personnel'!$I$4:$I$281,'F3 - Relevé du personnel'!$D$4:$D$281,$V7,'F3 - Relevé du personnel'!$C$4:$C$281,'F0 - Données générales'!$K$31,'F3 - Relevé du personnel'!$B$4:$B$281,7)</f>
        <v>0</v>
      </c>
      <c r="AB7" s="256">
        <f>SUMIFS('F3 - Relevé du personnel'!$M$4:$M$281,'F3 - Relevé du personnel'!$D$4:$D$281,$V7,'F3 - Relevé du personnel'!$C$4:$C$281,'F0 - Données générales'!$K$31,'F3 - Relevé du personnel'!$B$4:$B$281,7)</f>
        <v>0</v>
      </c>
      <c r="AC7" s="196">
        <f t="shared" si="1"/>
        <v>0</v>
      </c>
      <c r="AD7" s="256">
        <f>SUMIFS('F3 - Relevé du personnel'!$O$4:$O$281,'F3 - Relevé du personnel'!$D$4:$D$281,$V7,'F3 - Relevé du personnel'!$C$4:$C$281,'F0 - Données générales'!$K$31,'F3 - Relevé du personnel'!$B$4:$B$281,7)</f>
        <v>0</v>
      </c>
      <c r="AE7" s="256">
        <f>SUMIFS('F3 - Relevé du personnel'!$P$4:$P$281,'F3 - Relevé du personnel'!$D$4:$D$281,$V7,'F3 - Relevé du personnel'!$C$4:$C$281,'F0 - Données générales'!$K$31,'F3 - Relevé du personnel'!$B$4:$B$281,7)</f>
        <v>0</v>
      </c>
      <c r="AF7" s="256">
        <f>SUMIFS('F3 - Relevé du personnel'!$Q$4:$Q$281,'F3 - Relevé du personnel'!$D$4:$D$281,$V7,'F3 - Relevé du personnel'!$C$4:$C$281,'F0 - Données générales'!$K$31,'F3 - Relevé du personnel'!$B$4:$B$281,7)</f>
        <v>0</v>
      </c>
      <c r="AG7" s="182">
        <f t="shared" si="2"/>
        <v>0</v>
      </c>
      <c r="AH7" s="197" t="str">
        <f t="shared" si="8"/>
        <v/>
      </c>
      <c r="AI7" s="198" t="str">
        <f>IF(Y7=0,"",(SUMPRODUCT(($D$4:$D$253=V7)*($C$4:$C$253='F0 - Données générales'!$K$31)*($E$4:$E$253)*($F$4:$F$253)*($B$4:$B$253=7))+SUMPRODUCT(($D$257:$D$281=V7)*($C$257:$C$281='F0 - Données générales'!$K$31)*($B$257:$B$281=7)*($E$257:$E$281)*($F$257:$F$281)))/(SUMIFS('F3 - Relevé du personnel'!$E$4:$E$281,'F3 - Relevé du personnel'!$D$4:$D$281,$V7,'F3 - Relevé du personnel'!$C$4:$C$281,'F0 - Données générales'!$K$31,'F3 - Relevé du personnel'!$B$4:$B$281,7)))</f>
        <v/>
      </c>
      <c r="AJ7" s="120"/>
      <c r="AK7" s="742" t="s">
        <v>64</v>
      </c>
      <c r="AL7" s="742"/>
      <c r="AM7" s="26" t="s">
        <v>70</v>
      </c>
      <c r="AN7" s="741" t="s">
        <v>71</v>
      </c>
      <c r="AO7" s="741"/>
      <c r="AP7" s="181">
        <f>SUMIFS('F3 - Relevé du personnel'!$E$4:$E$281,'F3 - Relevé du personnel'!$D$4:$D$281,$AM7,'F3 - Relevé du personnel'!$C$4:$C$281,'F0 - Données générales'!$K$31,'F3 - Relevé du personnel'!$B$4:$B$281,"base-ortho")</f>
        <v>0</v>
      </c>
      <c r="AQ7" s="181">
        <f>SUMIFS('F3 - Relevé du personnel'!$H$4:$H$281,'F3 - Relevé du personnel'!$D$4:$D$281,$AM7,'F3 - Relevé du personnel'!$C$4:$C$281,'F0 - Données générales'!$K$31,'F3 - Relevé du personnel'!$B$4:$B$281,"base-ortho")</f>
        <v>0</v>
      </c>
      <c r="AR7" s="256">
        <f>SUMIFS('F3 - Relevé du personnel'!$I$4:$I$281,'F3 - Relevé du personnel'!$D$4:$D$281,$AM7,'F3 - Relevé du personnel'!$C$4:$C$281,'F0 - Données générales'!$K$31,'F3 - Relevé du personnel'!$B$4:$B$281,"base-ortho")</f>
        <v>0</v>
      </c>
      <c r="AS7" s="256">
        <f>SUMIFS('F3 - Relevé du personnel'!$M$4:$M$281,'F3 - Relevé du personnel'!$D$4:$D$281,$AM7,'F3 - Relevé du personnel'!$C$4:$C$281,'F0 - Données générales'!$K$31,'F3 - Relevé du personnel'!$B$4:$B$281,"base-ortho")</f>
        <v>0</v>
      </c>
      <c r="AT7" s="196">
        <f t="shared" si="9"/>
        <v>0</v>
      </c>
      <c r="AU7" s="256">
        <f>SUMIFS('F3 - Relevé du personnel'!$O$4:$O$281,'F3 - Relevé du personnel'!$D$4:$D$281,$AM7,'F3 - Relevé du personnel'!$C$4:$C$281,'F0 - Données générales'!$K$31,'F3 - Relevé du personnel'!$B$4:$B$281,"base-ortho")</f>
        <v>0</v>
      </c>
      <c r="AV7" s="256">
        <f>SUMIFS('F3 - Relevé du personnel'!$P$4:$P$281,'F3 - Relevé du personnel'!$D$4:$D$281,$AM7,'F3 - Relevé du personnel'!$C$4:$C$281,'F0 - Données générales'!$K$31,'F3 - Relevé du personnel'!$B$4:$B$281,"base-ortho")</f>
        <v>0</v>
      </c>
      <c r="AW7" s="256">
        <f>SUMIFS('F3 - Relevé du personnel'!$Q$4:$Q$281,'F3 - Relevé du personnel'!$D$4:$D$281,$AM7,'F3 - Relevé du personnel'!$C$4:$C$281,'F0 - Données générales'!$K$31,'F3 - Relevé du personnel'!$B$4:$B$281,"base-ortho")</f>
        <v>0</v>
      </c>
      <c r="AX7" s="182">
        <f t="shared" si="10"/>
        <v>0</v>
      </c>
      <c r="AY7" s="197" t="str">
        <f t="shared" si="11"/>
        <v/>
      </c>
      <c r="AZ7" s="198" t="str">
        <f>IF(AP7=0,"",(SUMPRODUCT(($D$4:$D$253=AM7)*($C$4:$C$253='F0 - Données générales'!$K$31)*($E$4:$E$253)*($F$4:$F$253)*($B$4:$B$253="base-ortho"))+SUMPRODUCT(($D$257:$D$281=AM7)*($C$257:$C$281='F0 - Données générales'!$K$31)*($B$257:$B$281="base-ortho")*($E$257:$E$281)*($F$257:$F$281)))/(SUMIFS('F3 - Relevé du personnel'!$E$4:$E$281,'F3 - Relevé du personnel'!$D$4:$D$281,$AM7,'F3 - Relevé du personnel'!$C$4:$C$281,'F0 - Données générales'!$K$31,'F3 - Relevé du personnel'!$B$4:$B$281,"base-ortho")))</f>
        <v/>
      </c>
      <c r="BA7" s="120"/>
      <c r="BB7" s="796" t="s">
        <v>64</v>
      </c>
      <c r="BC7" s="797"/>
      <c r="BD7" s="26" t="s">
        <v>70</v>
      </c>
      <c r="BE7" s="801" t="s">
        <v>71</v>
      </c>
      <c r="BF7" s="802"/>
      <c r="BG7" s="181">
        <f>SUMIFS('F3 - Relevé du personnel'!$E$4:$E$281,'F3 - Relevé du personnel'!$D$4:$D$281,$BD7,'F3 - Relevé du personnel'!$C$4:$C$281,'F0 - Données générales'!$K$31)</f>
        <v>0</v>
      </c>
      <c r="BH7" s="181">
        <f>SUMIFS('F3 - Relevé du personnel'!$H$4:$H$281,'F3 - Relevé du personnel'!$D$4:$D$281,$BD7,'F3 - Relevé du personnel'!$C$4:$C$281,'F0 - Données générales'!$K$31)</f>
        <v>0</v>
      </c>
      <c r="BI7" s="256">
        <f>SUMIFS('F3 - Relevé du personnel'!$I$4:$I$281,'F3 - Relevé du personnel'!$D$4:$D$281,$BD7,'F3 - Relevé du personnel'!$C$4:$C$281,'F0 - Données générales'!$K$31)</f>
        <v>0</v>
      </c>
      <c r="BJ7" s="256">
        <f>SUMIFS('F3 - Relevé du personnel'!$M$4:$M$281,'F3 - Relevé du personnel'!$D$4:$D$281,$BD7,'F3 - Relevé du personnel'!$C$4:$C$281,'F0 - Données générales'!$K$31)</f>
        <v>0</v>
      </c>
      <c r="BK7" s="196">
        <f t="shared" si="3"/>
        <v>0</v>
      </c>
      <c r="BL7" s="256">
        <f>SUMIFS('F3 - Relevé du personnel'!$O$4:$O$281,'F3 - Relevé du personnel'!$D$4:$D$281,$BD7,'F3 - Relevé du personnel'!$C$4:$C$281,'F0 - Données générales'!$K$31)</f>
        <v>0</v>
      </c>
      <c r="BM7" s="256">
        <f>SUMIFS('F3 - Relevé du personnel'!$P$4:$P$281,'F3 - Relevé du personnel'!$D$4:$D$281,$BD7,'F3 - Relevé du personnel'!$C$4:$C$281,'F0 - Données générales'!$K$31)</f>
        <v>0</v>
      </c>
      <c r="BN7" s="256">
        <f>SUMIFS('F3 - Relevé du personnel'!$Q$4:$Q$281,'F3 - Relevé du personnel'!$D$4:$D$281,$BD7,'F3 - Relevé du personnel'!$C$4:$C$281,'F0 - Données générales'!$K$31)</f>
        <v>0</v>
      </c>
      <c r="BO7" s="182">
        <f t="shared" si="4"/>
        <v>0</v>
      </c>
      <c r="BP7" s="197" t="str">
        <f t="shared" si="12"/>
        <v/>
      </c>
      <c r="BQ7" s="198" t="str">
        <f>IF(BG7=0,"",(SUMPRODUCT(($D$4:$D$253=BD7)*($C$4:$C$253='F0 - Données générales'!$K$31)*($E$4:$E$253)*($F$4:$F$253))+SUMPRODUCT(($D$257:$D$281=BD7)*($C$257:$C$281='F0 - Données générales'!$K$31)*($E$257:$E$281)*($F$257:$F$281)))/(SUMIFS('F3 - Relevé du personnel'!$E$4:$E$281,'F3 - Relevé du personnel'!$D$4:$D$281,$BD7,'F3 - Relevé du personnel'!$C$4:$C$281,'F0 - Données générales'!$K$31)))</f>
        <v/>
      </c>
      <c r="BR7" s="40"/>
      <c r="BS7" s="786"/>
      <c r="BT7" s="787"/>
      <c r="BU7" s="95" t="s">
        <v>229</v>
      </c>
      <c r="BV7" s="283">
        <f t="shared" ref="BV7:CA7" ca="1" si="14">IF(BV6=0,0,BV6/BV$12)</f>
        <v>0</v>
      </c>
      <c r="BW7" s="71">
        <f t="shared" ca="1" si="14"/>
        <v>0</v>
      </c>
      <c r="BX7" s="71">
        <f t="shared" ca="1" si="14"/>
        <v>0</v>
      </c>
      <c r="BY7" s="71">
        <f t="shared" ca="1" si="14"/>
        <v>0</v>
      </c>
      <c r="BZ7" s="71">
        <f t="shared" ca="1" si="14"/>
        <v>0</v>
      </c>
      <c r="CA7" s="30">
        <f t="shared" ca="1" si="14"/>
        <v>0</v>
      </c>
    </row>
    <row r="8" spans="1:79" x14ac:dyDescent="0.3">
      <c r="A8" s="106">
        <v>5</v>
      </c>
      <c r="B8" s="324">
        <f>'F0 - Données générales'!$C$4</f>
        <v>7</v>
      </c>
      <c r="C8" s="106" t="s">
        <v>95</v>
      </c>
      <c r="D8" s="106"/>
      <c r="E8" s="107"/>
      <c r="F8" s="108"/>
      <c r="G8" s="109"/>
      <c r="H8" s="110">
        <f t="shared" si="5"/>
        <v>0</v>
      </c>
      <c r="I8" s="177"/>
      <c r="J8" s="118" t="str">
        <f>IF(OR(D8="",F8=""),"",(((HLOOKUP(D8,'Carrières et points'!$A$20:$AD$60,F8+2,FALSE)*'Carrières et points'!$C$7*'Carrières et points'!$C$9)+(HLOOKUP(D8,'Carrières et points'!$A$20:$AD$60,F8+2,FALSE)*'Carrières et points'!$C$13*'Carrières et points'!$C$15))*(1+'F0 - Données générales'!$I$4)+((HLOOKUP(D8,'Carrières et points'!$A$20:$AD$60,F8+2,FALSE)*'Carrières et points'!$C$7*'Carrières et points'!$C$9)+(HLOOKUP(D8,'Carrières et points'!$A$20:$AD$60,F8+2,FALSE)*'Carrières et points'!$C$13*'Carrières et points'!$C$15))/12*(1+'F0 - Données générales'!$L$13))*E8)</f>
        <v/>
      </c>
      <c r="K8" s="118" t="str">
        <f t="shared" si="6"/>
        <v/>
      </c>
      <c r="L8" s="109"/>
      <c r="M8" s="177"/>
      <c r="N8" s="118" t="str">
        <f t="shared" si="0"/>
        <v/>
      </c>
      <c r="O8" s="177"/>
      <c r="P8" s="177"/>
      <c r="Q8" s="177"/>
      <c r="R8" s="255" t="str">
        <f t="shared" si="7"/>
        <v/>
      </c>
      <c r="S8" s="120"/>
      <c r="T8" s="742" t="s">
        <v>64</v>
      </c>
      <c r="U8" s="742"/>
      <c r="V8" s="26" t="s">
        <v>72</v>
      </c>
      <c r="W8" s="741" t="s">
        <v>73</v>
      </c>
      <c r="X8" s="741"/>
      <c r="Y8" s="181">
        <f>SUMIFS('F3 - Relevé du personnel'!$E$4:$E$281,'F3 - Relevé du personnel'!$D$4:$D$281,$V8,'F3 - Relevé du personnel'!$C$4:$C$281,'F0 - Données générales'!$K$31,'F3 - Relevé du personnel'!$B$4:$B$281,7)</f>
        <v>0</v>
      </c>
      <c r="Z8" s="181">
        <f>SUMIFS('F3 - Relevé du personnel'!$H$4:$H$281,'F3 - Relevé du personnel'!$D$4:$D$281,$V8,'F3 - Relevé du personnel'!$C$4:$C$281,'F0 - Données générales'!$K$31,'F3 - Relevé du personnel'!$B$4:$B$281,7)</f>
        <v>0</v>
      </c>
      <c r="AA8" s="256">
        <f>SUMIFS('F3 - Relevé du personnel'!$I$4:$I$281,'F3 - Relevé du personnel'!$D$4:$D$281,$V8,'F3 - Relevé du personnel'!$C$4:$C$281,'F0 - Données générales'!$K$31,'F3 - Relevé du personnel'!$B$4:$B$281,7)</f>
        <v>0</v>
      </c>
      <c r="AB8" s="256">
        <f>SUMIFS('F3 - Relevé du personnel'!$M$4:$M$281,'F3 - Relevé du personnel'!$D$4:$D$281,$V8,'F3 - Relevé du personnel'!$C$4:$C$281,'F0 - Données générales'!$K$31,'F3 - Relevé du personnel'!$B$4:$B$281,7)</f>
        <v>0</v>
      </c>
      <c r="AC8" s="196">
        <f t="shared" si="1"/>
        <v>0</v>
      </c>
      <c r="AD8" s="256">
        <f>SUMIFS('F3 - Relevé du personnel'!$O$4:$O$281,'F3 - Relevé du personnel'!$D$4:$D$281,$V8,'F3 - Relevé du personnel'!$C$4:$C$281,'F0 - Données générales'!$K$31,'F3 - Relevé du personnel'!$B$4:$B$281,7)</f>
        <v>0</v>
      </c>
      <c r="AE8" s="256">
        <f>SUMIFS('F3 - Relevé du personnel'!$P$4:$P$281,'F3 - Relevé du personnel'!$D$4:$D$281,$V8,'F3 - Relevé du personnel'!$C$4:$C$281,'F0 - Données générales'!$K$31,'F3 - Relevé du personnel'!$B$4:$B$281,7)</f>
        <v>0</v>
      </c>
      <c r="AF8" s="256">
        <f>SUMIFS('F3 - Relevé du personnel'!$Q$4:$Q$281,'F3 - Relevé du personnel'!$D$4:$D$281,$V8,'F3 - Relevé du personnel'!$C$4:$C$281,'F0 - Données générales'!$K$31,'F3 - Relevé du personnel'!$B$4:$B$281,7)</f>
        <v>0</v>
      </c>
      <c r="AG8" s="182">
        <f t="shared" si="2"/>
        <v>0</v>
      </c>
      <c r="AH8" s="197" t="str">
        <f t="shared" si="8"/>
        <v/>
      </c>
      <c r="AI8" s="198" t="str">
        <f>IF(Y8=0,"",(SUMPRODUCT(($D$4:$D$253=V8)*($C$4:$C$253='F0 - Données générales'!$K$31)*($E$4:$E$253)*($F$4:$F$253)*($B$4:$B$253=7))+SUMPRODUCT(($D$257:$D$281=V8)*($C$257:$C$281='F0 - Données générales'!$K$31)*($B$257:$B$281=7)*($E$257:$E$281)*($F$257:$F$281)))/(SUMIFS('F3 - Relevé du personnel'!$E$4:$E$281,'F3 - Relevé du personnel'!$D$4:$D$281,$V8,'F3 - Relevé du personnel'!$C$4:$C$281,'F0 - Données générales'!$K$31,'F3 - Relevé du personnel'!$B$4:$B$281,7)))</f>
        <v/>
      </c>
      <c r="AJ8" s="120"/>
      <c r="AK8" s="742" t="s">
        <v>64</v>
      </c>
      <c r="AL8" s="742"/>
      <c r="AM8" s="26" t="s">
        <v>72</v>
      </c>
      <c r="AN8" s="741" t="s">
        <v>73</v>
      </c>
      <c r="AO8" s="741"/>
      <c r="AP8" s="181">
        <f>SUMIFS('F3 - Relevé du personnel'!$E$4:$E$281,'F3 - Relevé du personnel'!$D$4:$D$281,$AM8,'F3 - Relevé du personnel'!$C$4:$C$281,'F0 - Données générales'!$K$31,'F3 - Relevé du personnel'!$B$4:$B$281,"base-ortho")</f>
        <v>0</v>
      </c>
      <c r="AQ8" s="181">
        <f>SUMIFS('F3 - Relevé du personnel'!$H$4:$H$281,'F3 - Relevé du personnel'!$D$4:$D$281,$AM8,'F3 - Relevé du personnel'!$C$4:$C$281,'F0 - Données générales'!$K$31,'F3 - Relevé du personnel'!$B$4:$B$281,"base-ortho")</f>
        <v>0</v>
      </c>
      <c r="AR8" s="256">
        <f>SUMIFS('F3 - Relevé du personnel'!$I$4:$I$281,'F3 - Relevé du personnel'!$D$4:$D$281,$AM8,'F3 - Relevé du personnel'!$C$4:$C$281,'F0 - Données générales'!$K$31,'F3 - Relevé du personnel'!$B$4:$B$281,"base-ortho")</f>
        <v>0</v>
      </c>
      <c r="AS8" s="256">
        <f>SUMIFS('F3 - Relevé du personnel'!$M$4:$M$281,'F3 - Relevé du personnel'!$D$4:$D$281,$AM8,'F3 - Relevé du personnel'!$C$4:$C$281,'F0 - Données générales'!$K$31,'F3 - Relevé du personnel'!$B$4:$B$281,"base-ortho")</f>
        <v>0</v>
      </c>
      <c r="AT8" s="196">
        <f t="shared" si="9"/>
        <v>0</v>
      </c>
      <c r="AU8" s="256">
        <f>SUMIFS('F3 - Relevé du personnel'!$O$4:$O$281,'F3 - Relevé du personnel'!$D$4:$D$281,$AM8,'F3 - Relevé du personnel'!$C$4:$C$281,'F0 - Données générales'!$K$31,'F3 - Relevé du personnel'!$B$4:$B$281,"base-ortho")</f>
        <v>0</v>
      </c>
      <c r="AV8" s="256">
        <f>SUMIFS('F3 - Relevé du personnel'!$P$4:$P$281,'F3 - Relevé du personnel'!$D$4:$D$281,$AM8,'F3 - Relevé du personnel'!$C$4:$C$281,'F0 - Données générales'!$K$31,'F3 - Relevé du personnel'!$B$4:$B$281,"base-ortho")</f>
        <v>0</v>
      </c>
      <c r="AW8" s="256">
        <f>SUMIFS('F3 - Relevé du personnel'!$Q$4:$Q$281,'F3 - Relevé du personnel'!$D$4:$D$281,$AM8,'F3 - Relevé du personnel'!$C$4:$C$281,'F0 - Données générales'!$K$31,'F3 - Relevé du personnel'!$B$4:$B$281,"base-ortho")</f>
        <v>0</v>
      </c>
      <c r="AX8" s="182">
        <f t="shared" si="10"/>
        <v>0</v>
      </c>
      <c r="AY8" s="197" t="str">
        <f t="shared" si="11"/>
        <v/>
      </c>
      <c r="AZ8" s="198" t="str">
        <f>IF(AP8=0,"",(SUMPRODUCT(($D$4:$D$253=AM8)*($C$4:$C$253='F0 - Données générales'!$K$31)*($E$4:$E$253)*($F$4:$F$253)*($B$4:$B$253="base-ortho"))+SUMPRODUCT(($D$257:$D$281=AM8)*($C$257:$C$281='F0 - Données générales'!$K$31)*($B$257:$B$281="base-ortho")*($E$257:$E$281)*($F$257:$F$281)))/(SUMIFS('F3 - Relevé du personnel'!$E$4:$E$281,'F3 - Relevé du personnel'!$D$4:$D$281,$AM8,'F3 - Relevé du personnel'!$C$4:$C$281,'F0 - Données générales'!$K$31,'F3 - Relevé du personnel'!$B$4:$B$281,"base-ortho")))</f>
        <v/>
      </c>
      <c r="BA8" s="120"/>
      <c r="BB8" s="796" t="s">
        <v>64</v>
      </c>
      <c r="BC8" s="797"/>
      <c r="BD8" s="26" t="s">
        <v>72</v>
      </c>
      <c r="BE8" s="801" t="s">
        <v>73</v>
      </c>
      <c r="BF8" s="802"/>
      <c r="BG8" s="181">
        <f>SUMIFS('F3 - Relevé du personnel'!$E$4:$E$281,'F3 - Relevé du personnel'!$D$4:$D$281,$BD8,'F3 - Relevé du personnel'!$C$4:$C$281,'F0 - Données générales'!$K$31)</f>
        <v>0</v>
      </c>
      <c r="BH8" s="181">
        <f>SUMIFS('F3 - Relevé du personnel'!$H$4:$H$281,'F3 - Relevé du personnel'!$D$4:$D$281,$BD8,'F3 - Relevé du personnel'!$C$4:$C$281,'F0 - Données générales'!$K$31)</f>
        <v>0</v>
      </c>
      <c r="BI8" s="256">
        <f>SUMIFS('F3 - Relevé du personnel'!$I$4:$I$281,'F3 - Relevé du personnel'!$D$4:$D$281,$BD8,'F3 - Relevé du personnel'!$C$4:$C$281,'F0 - Données générales'!$K$31)</f>
        <v>0</v>
      </c>
      <c r="BJ8" s="256">
        <f>SUMIFS('F3 - Relevé du personnel'!$M$4:$M$281,'F3 - Relevé du personnel'!$D$4:$D$281,$BD8,'F3 - Relevé du personnel'!$C$4:$C$281,'F0 - Données générales'!$K$31)</f>
        <v>0</v>
      </c>
      <c r="BK8" s="196">
        <f t="shared" si="3"/>
        <v>0</v>
      </c>
      <c r="BL8" s="256">
        <f>SUMIFS('F3 - Relevé du personnel'!$O$4:$O$281,'F3 - Relevé du personnel'!$D$4:$D$281,$BD8,'F3 - Relevé du personnel'!$C$4:$C$281,'F0 - Données générales'!$K$31)</f>
        <v>0</v>
      </c>
      <c r="BM8" s="256">
        <f>SUMIFS('F3 - Relevé du personnel'!$P$4:$P$281,'F3 - Relevé du personnel'!$D$4:$D$281,$BD8,'F3 - Relevé du personnel'!$C$4:$C$281,'F0 - Données générales'!$K$31)</f>
        <v>0</v>
      </c>
      <c r="BN8" s="256">
        <f>SUMIFS('F3 - Relevé du personnel'!$Q$4:$Q$281,'F3 - Relevé du personnel'!$D$4:$D$281,$BD8,'F3 - Relevé du personnel'!$C$4:$C$281,'F0 - Données générales'!$K$31)</f>
        <v>0</v>
      </c>
      <c r="BO8" s="182">
        <f t="shared" si="4"/>
        <v>0</v>
      </c>
      <c r="BP8" s="197" t="str">
        <f t="shared" si="12"/>
        <v/>
      </c>
      <c r="BQ8" s="198" t="str">
        <f>IF(BG8=0,"",(SUMPRODUCT(($D$4:$D$253=BD8)*($C$4:$C$253='F0 - Données générales'!$K$31)*($E$4:$E$253)*($F$4:$F$253))+SUMPRODUCT(($D$257:$D$281=BD8)*($C$257:$C$281='F0 - Données générales'!$K$31)*($E$257:$E$281)*($F$257:$F$281)))/(SUMIFS('F3 - Relevé du personnel'!$E$4:$E$281,'F3 - Relevé du personnel'!$D$4:$D$281,$BD8,'F3 - Relevé du personnel'!$C$4:$C$281,'F0 - Données générales'!$K$31)))</f>
        <v/>
      </c>
      <c r="BR8" s="40"/>
      <c r="BS8" s="784" t="s">
        <v>64</v>
      </c>
      <c r="BT8" s="785"/>
      <c r="BU8" s="91" t="s">
        <v>228</v>
      </c>
      <c r="BV8" s="282">
        <f ca="1">SUMIF($BB$4:$BC$32,$BS8,BH$4:BH$32)</f>
        <v>0</v>
      </c>
      <c r="BW8" s="92">
        <f ca="1">SUMIF($BB$4:$BC$32,$BS8,BG$4:BG$32)</f>
        <v>0</v>
      </c>
      <c r="BX8" s="92">
        <f ca="1">SUMIF($BB$43:$BC$71,$BS8,$BG$43:$BG$71)</f>
        <v>0</v>
      </c>
      <c r="BY8" s="92">
        <f ca="1">SUMIF($BB$82:$BC$110,$BS8,$BG$82:$BG$110)</f>
        <v>0</v>
      </c>
      <c r="BZ8" s="92">
        <f ca="1">SUMIF($BB$121:$BC$149,$BS8,$BG$121:$BG$149)</f>
        <v>0</v>
      </c>
      <c r="CA8" s="94">
        <f ca="1">SUM(BW8:BZ8)</f>
        <v>0</v>
      </c>
    </row>
    <row r="9" spans="1:79" x14ac:dyDescent="0.3">
      <c r="A9" s="106">
        <v>6</v>
      </c>
      <c r="B9" s="324">
        <f>'F0 - Données générales'!$C$4</f>
        <v>7</v>
      </c>
      <c r="C9" s="106" t="s">
        <v>95</v>
      </c>
      <c r="D9" s="106"/>
      <c r="E9" s="107"/>
      <c r="F9" s="108"/>
      <c r="G9" s="109"/>
      <c r="H9" s="110">
        <f t="shared" si="5"/>
        <v>0</v>
      </c>
      <c r="I9" s="177"/>
      <c r="J9" s="118" t="str">
        <f>IF(OR(D9="",F9=""),"",(((HLOOKUP(D9,'Carrières et points'!$A$20:$AD$60,F9+2,FALSE)*'Carrières et points'!$C$7*'Carrières et points'!$C$9)+(HLOOKUP(D9,'Carrières et points'!$A$20:$AD$60,F9+2,FALSE)*'Carrières et points'!$C$13*'Carrières et points'!$C$15))*(1+'F0 - Données générales'!$I$4)+((HLOOKUP(D9,'Carrières et points'!$A$20:$AD$60,F9+2,FALSE)*'Carrières et points'!$C$7*'Carrières et points'!$C$9)+(HLOOKUP(D9,'Carrières et points'!$A$20:$AD$60,F9+2,FALSE)*'Carrières et points'!$C$13*'Carrières et points'!$C$15))/12*(1+'F0 - Données générales'!$L$13))*E9)</f>
        <v/>
      </c>
      <c r="K9" s="118" t="str">
        <f t="shared" si="6"/>
        <v/>
      </c>
      <c r="L9" s="109"/>
      <c r="M9" s="177"/>
      <c r="N9" s="118" t="str">
        <f t="shared" si="0"/>
        <v/>
      </c>
      <c r="O9" s="177"/>
      <c r="P9" s="177"/>
      <c r="Q9" s="177"/>
      <c r="R9" s="255" t="str">
        <f t="shared" si="7"/>
        <v/>
      </c>
      <c r="S9" s="120"/>
      <c r="T9" s="742" t="s">
        <v>65</v>
      </c>
      <c r="U9" s="742"/>
      <c r="V9" s="26" t="s">
        <v>74</v>
      </c>
      <c r="W9" s="741" t="s">
        <v>75</v>
      </c>
      <c r="X9" s="741"/>
      <c r="Y9" s="181">
        <f>SUMIFS('F3 - Relevé du personnel'!$E$4:$E$281,'F3 - Relevé du personnel'!$D$4:$D$281,$V9,'F3 - Relevé du personnel'!$C$4:$C$281,'F0 - Données générales'!$K$31,'F3 - Relevé du personnel'!$B$4:$B$281,7)</f>
        <v>0</v>
      </c>
      <c r="Z9" s="181">
        <f>SUMIFS('F3 - Relevé du personnel'!$H$4:$H$281,'F3 - Relevé du personnel'!$D$4:$D$281,$V9,'F3 - Relevé du personnel'!$C$4:$C$281,'F0 - Données générales'!$K$31,'F3 - Relevé du personnel'!$B$4:$B$281,7)</f>
        <v>0</v>
      </c>
      <c r="AA9" s="256">
        <f>SUMIFS('F3 - Relevé du personnel'!$I$4:$I$281,'F3 - Relevé du personnel'!$D$4:$D$281,$V9,'F3 - Relevé du personnel'!$C$4:$C$281,'F0 - Données générales'!$K$31,'F3 - Relevé du personnel'!$B$4:$B$281,7)</f>
        <v>0</v>
      </c>
      <c r="AB9" s="256">
        <f>SUMIFS('F3 - Relevé du personnel'!$M$4:$M$281,'F3 - Relevé du personnel'!$D$4:$D$281,$V9,'F3 - Relevé du personnel'!$C$4:$C$281,'F0 - Données générales'!$K$31,'F3 - Relevé du personnel'!$B$4:$B$281,7)</f>
        <v>0</v>
      </c>
      <c r="AC9" s="196">
        <f t="shared" si="1"/>
        <v>0</v>
      </c>
      <c r="AD9" s="256">
        <f>SUMIFS('F3 - Relevé du personnel'!$O$4:$O$281,'F3 - Relevé du personnel'!$D$4:$D$281,$V9,'F3 - Relevé du personnel'!$C$4:$C$281,'F0 - Données générales'!$K$31,'F3 - Relevé du personnel'!$B$4:$B$281,7)</f>
        <v>0</v>
      </c>
      <c r="AE9" s="256">
        <f>SUMIFS('F3 - Relevé du personnel'!$P$4:$P$281,'F3 - Relevé du personnel'!$D$4:$D$281,$V9,'F3 - Relevé du personnel'!$C$4:$C$281,'F0 - Données générales'!$K$31,'F3 - Relevé du personnel'!$B$4:$B$281,7)</f>
        <v>0</v>
      </c>
      <c r="AF9" s="256">
        <f>SUMIFS('F3 - Relevé du personnel'!$Q$4:$Q$281,'F3 - Relevé du personnel'!$D$4:$D$281,$V9,'F3 - Relevé du personnel'!$C$4:$C$281,'F0 - Données générales'!$K$31,'F3 - Relevé du personnel'!$B$4:$B$281,7)</f>
        <v>0</v>
      </c>
      <c r="AG9" s="182">
        <f t="shared" si="2"/>
        <v>0</v>
      </c>
      <c r="AH9" s="197" t="str">
        <f t="shared" si="8"/>
        <v/>
      </c>
      <c r="AI9" s="198" t="str">
        <f>IF(Y9=0,"",(SUMPRODUCT(($D$4:$D$253=V9)*($C$4:$C$253='F0 - Données générales'!$K$31)*($E$4:$E$253)*($F$4:$F$253)*($B$4:$B$253=7))+SUMPRODUCT(($D$257:$D$281=V9)*($C$257:$C$281='F0 - Données générales'!$K$31)*($B$257:$B$281=7)*($E$257:$E$281)*($F$257:$F$281)))/(SUMIFS('F3 - Relevé du personnel'!$E$4:$E$281,'F3 - Relevé du personnel'!$D$4:$D$281,$V9,'F3 - Relevé du personnel'!$C$4:$C$281,'F0 - Données générales'!$K$31,'F3 - Relevé du personnel'!$B$4:$B$281,7)))</f>
        <v/>
      </c>
      <c r="AJ9" s="120"/>
      <c r="AK9" s="742" t="s">
        <v>65</v>
      </c>
      <c r="AL9" s="742"/>
      <c r="AM9" s="26" t="s">
        <v>74</v>
      </c>
      <c r="AN9" s="741" t="s">
        <v>75</v>
      </c>
      <c r="AO9" s="741"/>
      <c r="AP9" s="181">
        <f>SUMIFS('F3 - Relevé du personnel'!$E$4:$E$281,'F3 - Relevé du personnel'!$D$4:$D$281,$AM9,'F3 - Relevé du personnel'!$C$4:$C$281,'F0 - Données générales'!$K$31,'F3 - Relevé du personnel'!$B$4:$B$281,"base-ortho")</f>
        <v>0</v>
      </c>
      <c r="AQ9" s="181">
        <f>SUMIFS('F3 - Relevé du personnel'!$H$4:$H$281,'F3 - Relevé du personnel'!$D$4:$D$281,$AM9,'F3 - Relevé du personnel'!$C$4:$C$281,'F0 - Données générales'!$K$31,'F3 - Relevé du personnel'!$B$4:$B$281,"base-ortho")</f>
        <v>0</v>
      </c>
      <c r="AR9" s="256">
        <f>SUMIFS('F3 - Relevé du personnel'!$I$4:$I$281,'F3 - Relevé du personnel'!$D$4:$D$281,$AM9,'F3 - Relevé du personnel'!$C$4:$C$281,'F0 - Données générales'!$K$31,'F3 - Relevé du personnel'!$B$4:$B$281,"base-ortho")</f>
        <v>0</v>
      </c>
      <c r="AS9" s="256">
        <f>SUMIFS('F3 - Relevé du personnel'!$M$4:$M$281,'F3 - Relevé du personnel'!$D$4:$D$281,$AM9,'F3 - Relevé du personnel'!$C$4:$C$281,'F0 - Données générales'!$K$31,'F3 - Relevé du personnel'!$B$4:$B$281,"base-ortho")</f>
        <v>0</v>
      </c>
      <c r="AT9" s="196">
        <f t="shared" si="9"/>
        <v>0</v>
      </c>
      <c r="AU9" s="256">
        <f>SUMIFS('F3 - Relevé du personnel'!$O$4:$O$281,'F3 - Relevé du personnel'!$D$4:$D$281,$AM9,'F3 - Relevé du personnel'!$C$4:$C$281,'F0 - Données générales'!$K$31,'F3 - Relevé du personnel'!$B$4:$B$281,"base-ortho")</f>
        <v>0</v>
      </c>
      <c r="AV9" s="256">
        <f>SUMIFS('F3 - Relevé du personnel'!$P$4:$P$281,'F3 - Relevé du personnel'!$D$4:$D$281,$AM9,'F3 - Relevé du personnel'!$C$4:$C$281,'F0 - Données générales'!$K$31,'F3 - Relevé du personnel'!$B$4:$B$281,"base-ortho")</f>
        <v>0</v>
      </c>
      <c r="AW9" s="256">
        <f>SUMIFS('F3 - Relevé du personnel'!$Q$4:$Q$281,'F3 - Relevé du personnel'!$D$4:$D$281,$AM9,'F3 - Relevé du personnel'!$C$4:$C$281,'F0 - Données générales'!$K$31,'F3 - Relevé du personnel'!$B$4:$B$281,"base-ortho")</f>
        <v>0</v>
      </c>
      <c r="AX9" s="182">
        <f t="shared" si="10"/>
        <v>0</v>
      </c>
      <c r="AY9" s="197" t="str">
        <f t="shared" si="11"/>
        <v/>
      </c>
      <c r="AZ9" s="198" t="str">
        <f>IF(AP9=0,"",(SUMPRODUCT(($D$4:$D$253=AM9)*($C$4:$C$253='F0 - Données générales'!$K$31)*($E$4:$E$253)*($F$4:$F$253)*($B$4:$B$253="base-ortho"))+SUMPRODUCT(($D$257:$D$281=AM9)*($C$257:$C$281='F0 - Données générales'!$K$31)*($B$257:$B$281="base-ortho")*($E$257:$E$281)*($F$257:$F$281)))/(SUMIFS('F3 - Relevé du personnel'!$E$4:$E$281,'F3 - Relevé du personnel'!$D$4:$D$281,$AM9,'F3 - Relevé du personnel'!$C$4:$C$281,'F0 - Données générales'!$K$31,'F3 - Relevé du personnel'!$B$4:$B$281,"base-ortho")))</f>
        <v/>
      </c>
      <c r="BA9" s="120"/>
      <c r="BB9" s="796" t="s">
        <v>65</v>
      </c>
      <c r="BC9" s="797"/>
      <c r="BD9" s="26" t="s">
        <v>74</v>
      </c>
      <c r="BE9" s="801" t="s">
        <v>75</v>
      </c>
      <c r="BF9" s="802"/>
      <c r="BG9" s="181">
        <f>SUMIFS('F3 - Relevé du personnel'!$E$4:$E$281,'F3 - Relevé du personnel'!$D$4:$D$281,$BD9,'F3 - Relevé du personnel'!$C$4:$C$281,'F0 - Données générales'!$K$31)</f>
        <v>0</v>
      </c>
      <c r="BH9" s="181">
        <f>SUMIFS('F3 - Relevé du personnel'!$H$4:$H$281,'F3 - Relevé du personnel'!$D$4:$D$281,$BD9,'F3 - Relevé du personnel'!$C$4:$C$281,'F0 - Données générales'!$K$31)</f>
        <v>0</v>
      </c>
      <c r="BI9" s="256">
        <f>SUMIFS('F3 - Relevé du personnel'!$I$4:$I$281,'F3 - Relevé du personnel'!$D$4:$D$281,$BD9,'F3 - Relevé du personnel'!$C$4:$C$281,'F0 - Données générales'!$K$31)</f>
        <v>0</v>
      </c>
      <c r="BJ9" s="256">
        <f>SUMIFS('F3 - Relevé du personnel'!$M$4:$M$281,'F3 - Relevé du personnel'!$D$4:$D$281,$BD9,'F3 - Relevé du personnel'!$C$4:$C$281,'F0 - Données générales'!$K$31)</f>
        <v>0</v>
      </c>
      <c r="BK9" s="196">
        <f t="shared" si="3"/>
        <v>0</v>
      </c>
      <c r="BL9" s="256">
        <f>SUMIFS('F3 - Relevé du personnel'!$O$4:$O$281,'F3 - Relevé du personnel'!$D$4:$D$281,$BD9,'F3 - Relevé du personnel'!$C$4:$C$281,'F0 - Données générales'!$K$31)</f>
        <v>0</v>
      </c>
      <c r="BM9" s="256">
        <f>SUMIFS('F3 - Relevé du personnel'!$P$4:$P$281,'F3 - Relevé du personnel'!$D$4:$D$281,$BD9,'F3 - Relevé du personnel'!$C$4:$C$281,'F0 - Données générales'!$K$31)</f>
        <v>0</v>
      </c>
      <c r="BN9" s="256">
        <f>SUMIFS('F3 - Relevé du personnel'!$Q$4:$Q$281,'F3 - Relevé du personnel'!$D$4:$D$281,$BD9,'F3 - Relevé du personnel'!$C$4:$C$281,'F0 - Données générales'!$K$31)</f>
        <v>0</v>
      </c>
      <c r="BO9" s="182">
        <f t="shared" si="4"/>
        <v>0</v>
      </c>
      <c r="BP9" s="197" t="str">
        <f t="shared" si="12"/>
        <v/>
      </c>
      <c r="BQ9" s="198" t="str">
        <f>IF(BG9=0,"",(SUMPRODUCT(($D$4:$D$253=BD9)*($C$4:$C$253='F0 - Données générales'!$K$31)*($E$4:$E$253)*($F$4:$F$253))+SUMPRODUCT(($D$257:$D$281=BD9)*($C$257:$C$281='F0 - Données générales'!$K$31)*($E$257:$E$281)*($F$257:$F$281)))/(SUMIFS('F3 - Relevé du personnel'!$E$4:$E$281,'F3 - Relevé du personnel'!$D$4:$D$281,$BD9,'F3 - Relevé du personnel'!$C$4:$C$281,'F0 - Données générales'!$K$31)))</f>
        <v/>
      </c>
      <c r="BR9" s="40"/>
      <c r="BS9" s="786"/>
      <c r="BT9" s="787"/>
      <c r="BU9" s="95" t="s">
        <v>229</v>
      </c>
      <c r="BV9" s="283">
        <f t="shared" ref="BV9:CA9" ca="1" si="15">IF(BV8=0,0,BV8/BV$12)</f>
        <v>0</v>
      </c>
      <c r="BW9" s="71">
        <f t="shared" ca="1" si="15"/>
        <v>0</v>
      </c>
      <c r="BX9" s="71">
        <f t="shared" ca="1" si="15"/>
        <v>0</v>
      </c>
      <c r="BY9" s="71">
        <f t="shared" ca="1" si="15"/>
        <v>0</v>
      </c>
      <c r="BZ9" s="71">
        <f t="shared" ca="1" si="15"/>
        <v>0</v>
      </c>
      <c r="CA9" s="30">
        <f t="shared" ca="1" si="15"/>
        <v>0</v>
      </c>
    </row>
    <row r="10" spans="1:79" x14ac:dyDescent="0.3">
      <c r="A10" s="106">
        <v>7</v>
      </c>
      <c r="B10" s="324">
        <f>'F0 - Données générales'!$C$4</f>
        <v>7</v>
      </c>
      <c r="C10" s="106" t="s">
        <v>95</v>
      </c>
      <c r="D10" s="106"/>
      <c r="E10" s="107"/>
      <c r="F10" s="108"/>
      <c r="G10" s="109"/>
      <c r="H10" s="110">
        <f t="shared" si="5"/>
        <v>0</v>
      </c>
      <c r="I10" s="177"/>
      <c r="J10" s="118" t="str">
        <f>IF(OR(D10="",F10=""),"",(((HLOOKUP(D10,'Carrières et points'!$A$20:$AD$60,F10+2,FALSE)*'Carrières et points'!$C$7*'Carrières et points'!$C$9)+(HLOOKUP(D10,'Carrières et points'!$A$20:$AD$60,F10+2,FALSE)*'Carrières et points'!$C$13*'Carrières et points'!$C$15))*(1+'F0 - Données générales'!$I$4)+((HLOOKUP(D10,'Carrières et points'!$A$20:$AD$60,F10+2,FALSE)*'Carrières et points'!$C$7*'Carrières et points'!$C$9)+(HLOOKUP(D10,'Carrières et points'!$A$20:$AD$60,F10+2,FALSE)*'Carrières et points'!$C$13*'Carrières et points'!$C$15))/12*(1+'F0 - Données générales'!$L$13))*E10)</f>
        <v/>
      </c>
      <c r="K10" s="118" t="str">
        <f t="shared" si="6"/>
        <v/>
      </c>
      <c r="L10" s="109"/>
      <c r="M10" s="177"/>
      <c r="N10" s="118" t="str">
        <f t="shared" si="0"/>
        <v/>
      </c>
      <c r="O10" s="177"/>
      <c r="P10" s="177"/>
      <c r="Q10" s="177"/>
      <c r="R10" s="255" t="str">
        <f t="shared" si="7"/>
        <v/>
      </c>
      <c r="S10" s="120"/>
      <c r="T10" s="742" t="s">
        <v>65</v>
      </c>
      <c r="U10" s="742"/>
      <c r="V10" s="26" t="s">
        <v>76</v>
      </c>
      <c r="W10" s="741" t="s">
        <v>77</v>
      </c>
      <c r="X10" s="741"/>
      <c r="Y10" s="181">
        <f>SUMIFS('F3 - Relevé du personnel'!$E$4:$E$281,'F3 - Relevé du personnel'!$D$4:$D$281,$V10,'F3 - Relevé du personnel'!$C$4:$C$281,'F0 - Données générales'!$K$31,'F3 - Relevé du personnel'!$B$4:$B$281,7)</f>
        <v>0</v>
      </c>
      <c r="Z10" s="181">
        <f>SUMIFS('F3 - Relevé du personnel'!$H$4:$H$281,'F3 - Relevé du personnel'!$D$4:$D$281,$V10,'F3 - Relevé du personnel'!$C$4:$C$281,'F0 - Données générales'!$K$31,'F3 - Relevé du personnel'!$B$4:$B$281,7)</f>
        <v>0</v>
      </c>
      <c r="AA10" s="256">
        <f>SUMIFS('F3 - Relevé du personnel'!$I$4:$I$281,'F3 - Relevé du personnel'!$D$4:$D$281,$V10,'F3 - Relevé du personnel'!$C$4:$C$281,'F0 - Données générales'!$K$31,'F3 - Relevé du personnel'!$B$4:$B$281,7)</f>
        <v>0</v>
      </c>
      <c r="AB10" s="256">
        <f>SUMIFS('F3 - Relevé du personnel'!$M$4:$M$281,'F3 - Relevé du personnel'!$D$4:$D$281,$V10,'F3 - Relevé du personnel'!$C$4:$C$281,'F0 - Données générales'!$K$31,'F3 - Relevé du personnel'!$B$4:$B$281,7)</f>
        <v>0</v>
      </c>
      <c r="AC10" s="196">
        <f t="shared" si="1"/>
        <v>0</v>
      </c>
      <c r="AD10" s="256">
        <f>SUMIFS('F3 - Relevé du personnel'!$O$4:$O$281,'F3 - Relevé du personnel'!$D$4:$D$281,$V10,'F3 - Relevé du personnel'!$C$4:$C$281,'F0 - Données générales'!$K$31,'F3 - Relevé du personnel'!$B$4:$B$281,7)</f>
        <v>0</v>
      </c>
      <c r="AE10" s="256">
        <f>SUMIFS('F3 - Relevé du personnel'!$P$4:$P$281,'F3 - Relevé du personnel'!$D$4:$D$281,$V10,'F3 - Relevé du personnel'!$C$4:$C$281,'F0 - Données générales'!$K$31,'F3 - Relevé du personnel'!$B$4:$B$281,7)</f>
        <v>0</v>
      </c>
      <c r="AF10" s="256">
        <f>SUMIFS('F3 - Relevé du personnel'!$Q$4:$Q$281,'F3 - Relevé du personnel'!$D$4:$D$281,$V10,'F3 - Relevé du personnel'!$C$4:$C$281,'F0 - Données générales'!$K$31,'F3 - Relevé du personnel'!$B$4:$B$281,7)</f>
        <v>0</v>
      </c>
      <c r="AG10" s="182">
        <f t="shared" si="2"/>
        <v>0</v>
      </c>
      <c r="AH10" s="197" t="str">
        <f t="shared" si="8"/>
        <v/>
      </c>
      <c r="AI10" s="198" t="str">
        <f>IF(Y10=0,"",(SUMPRODUCT(($D$4:$D$253=V10)*($C$4:$C$253='F0 - Données générales'!$K$31)*($E$4:$E$253)*($F$4:$F$253)*($B$4:$B$253=7))+SUMPRODUCT(($D$257:$D$281=V10)*($C$257:$C$281='F0 - Données générales'!$K$31)*($B$257:$B$281=7)*($E$257:$E$281)*($F$257:$F$281)))/(SUMIFS('F3 - Relevé du personnel'!$E$4:$E$281,'F3 - Relevé du personnel'!$D$4:$D$281,$V10,'F3 - Relevé du personnel'!$C$4:$C$281,'F0 - Données générales'!$K$31,'F3 - Relevé du personnel'!$B$4:$B$281,7)))</f>
        <v/>
      </c>
      <c r="AJ10" s="120"/>
      <c r="AK10" s="742" t="s">
        <v>65</v>
      </c>
      <c r="AL10" s="742"/>
      <c r="AM10" s="26" t="s">
        <v>76</v>
      </c>
      <c r="AN10" s="741" t="s">
        <v>77</v>
      </c>
      <c r="AO10" s="741"/>
      <c r="AP10" s="181">
        <f>SUMIFS('F3 - Relevé du personnel'!$E$4:$E$281,'F3 - Relevé du personnel'!$D$4:$D$281,$AM10,'F3 - Relevé du personnel'!$C$4:$C$281,'F0 - Données générales'!$K$31,'F3 - Relevé du personnel'!$B$4:$B$281,"base-ortho")</f>
        <v>0</v>
      </c>
      <c r="AQ10" s="181">
        <f>SUMIFS('F3 - Relevé du personnel'!$H$4:$H$281,'F3 - Relevé du personnel'!$D$4:$D$281,$AM10,'F3 - Relevé du personnel'!$C$4:$C$281,'F0 - Données générales'!$K$31,'F3 - Relevé du personnel'!$B$4:$B$281,"base-ortho")</f>
        <v>0</v>
      </c>
      <c r="AR10" s="256">
        <f>SUMIFS('F3 - Relevé du personnel'!$I$4:$I$281,'F3 - Relevé du personnel'!$D$4:$D$281,$AM10,'F3 - Relevé du personnel'!$C$4:$C$281,'F0 - Données générales'!$K$31,'F3 - Relevé du personnel'!$B$4:$B$281,"base-ortho")</f>
        <v>0</v>
      </c>
      <c r="AS10" s="256">
        <f>SUMIFS('F3 - Relevé du personnel'!$M$4:$M$281,'F3 - Relevé du personnel'!$D$4:$D$281,$AM10,'F3 - Relevé du personnel'!$C$4:$C$281,'F0 - Données générales'!$K$31,'F3 - Relevé du personnel'!$B$4:$B$281,"base-ortho")</f>
        <v>0</v>
      </c>
      <c r="AT10" s="196">
        <f t="shared" si="9"/>
        <v>0</v>
      </c>
      <c r="AU10" s="256">
        <f>SUMIFS('F3 - Relevé du personnel'!$O$4:$O$281,'F3 - Relevé du personnel'!$D$4:$D$281,$AM10,'F3 - Relevé du personnel'!$C$4:$C$281,'F0 - Données générales'!$K$31,'F3 - Relevé du personnel'!$B$4:$B$281,"base-ortho")</f>
        <v>0</v>
      </c>
      <c r="AV10" s="256">
        <f>SUMIFS('F3 - Relevé du personnel'!$P$4:$P$281,'F3 - Relevé du personnel'!$D$4:$D$281,$AM10,'F3 - Relevé du personnel'!$C$4:$C$281,'F0 - Données générales'!$K$31,'F3 - Relevé du personnel'!$B$4:$B$281,"base-ortho")</f>
        <v>0</v>
      </c>
      <c r="AW10" s="256">
        <f>SUMIFS('F3 - Relevé du personnel'!$Q$4:$Q$281,'F3 - Relevé du personnel'!$D$4:$D$281,$AM10,'F3 - Relevé du personnel'!$C$4:$C$281,'F0 - Données générales'!$K$31,'F3 - Relevé du personnel'!$B$4:$B$281,"base-ortho")</f>
        <v>0</v>
      </c>
      <c r="AX10" s="182">
        <f t="shared" si="10"/>
        <v>0</v>
      </c>
      <c r="AY10" s="197" t="str">
        <f t="shared" si="11"/>
        <v/>
      </c>
      <c r="AZ10" s="198" t="str">
        <f>IF(AP10=0,"",(SUMPRODUCT(($D$4:$D$253=AM10)*($C$4:$C$253='F0 - Données générales'!$K$31)*($E$4:$E$253)*($F$4:$F$253)*($B$4:$B$253="base-ortho"))+SUMPRODUCT(($D$257:$D$281=AM10)*($C$257:$C$281='F0 - Données générales'!$K$31)*($B$257:$B$281="base-ortho")*($E$257:$E$281)*($F$257:$F$281)))/(SUMIFS('F3 - Relevé du personnel'!$E$4:$E$281,'F3 - Relevé du personnel'!$D$4:$D$281,$AM10,'F3 - Relevé du personnel'!$C$4:$C$281,'F0 - Données générales'!$K$31,'F3 - Relevé du personnel'!$B$4:$B$281,"base-ortho")))</f>
        <v/>
      </c>
      <c r="BA10" s="120"/>
      <c r="BB10" s="796" t="s">
        <v>65</v>
      </c>
      <c r="BC10" s="797"/>
      <c r="BD10" s="26" t="s">
        <v>76</v>
      </c>
      <c r="BE10" s="801" t="s">
        <v>77</v>
      </c>
      <c r="BF10" s="802"/>
      <c r="BG10" s="181">
        <f>SUMIFS('F3 - Relevé du personnel'!$E$4:$E$281,'F3 - Relevé du personnel'!$D$4:$D$281,$BD10,'F3 - Relevé du personnel'!$C$4:$C$281,'F0 - Données générales'!$K$31)</f>
        <v>0</v>
      </c>
      <c r="BH10" s="181">
        <f>SUMIFS('F3 - Relevé du personnel'!$H$4:$H$281,'F3 - Relevé du personnel'!$D$4:$D$281,$BD10,'F3 - Relevé du personnel'!$C$4:$C$281,'F0 - Données générales'!$K$31)</f>
        <v>0</v>
      </c>
      <c r="BI10" s="256">
        <f>SUMIFS('F3 - Relevé du personnel'!$I$4:$I$281,'F3 - Relevé du personnel'!$D$4:$D$281,$BD10,'F3 - Relevé du personnel'!$C$4:$C$281,'F0 - Données générales'!$K$31)</f>
        <v>0</v>
      </c>
      <c r="BJ10" s="256">
        <f>SUMIFS('F3 - Relevé du personnel'!$M$4:$M$281,'F3 - Relevé du personnel'!$D$4:$D$281,$BD10,'F3 - Relevé du personnel'!$C$4:$C$281,'F0 - Données générales'!$K$31)</f>
        <v>0</v>
      </c>
      <c r="BK10" s="196">
        <f t="shared" si="3"/>
        <v>0</v>
      </c>
      <c r="BL10" s="256">
        <f>SUMIFS('F3 - Relevé du personnel'!$O$4:$O$281,'F3 - Relevé du personnel'!$D$4:$D$281,$BD10,'F3 - Relevé du personnel'!$C$4:$C$281,'F0 - Données générales'!$K$31)</f>
        <v>0</v>
      </c>
      <c r="BM10" s="256">
        <f>SUMIFS('F3 - Relevé du personnel'!$P$4:$P$281,'F3 - Relevé du personnel'!$D$4:$D$281,$BD10,'F3 - Relevé du personnel'!$C$4:$C$281,'F0 - Données générales'!$K$31)</f>
        <v>0</v>
      </c>
      <c r="BN10" s="256">
        <f>SUMIFS('F3 - Relevé du personnel'!$Q$4:$Q$281,'F3 - Relevé du personnel'!$D$4:$D$281,$BD10,'F3 - Relevé du personnel'!$C$4:$C$281,'F0 - Données générales'!$K$31)</f>
        <v>0</v>
      </c>
      <c r="BO10" s="182">
        <f t="shared" si="4"/>
        <v>0</v>
      </c>
      <c r="BP10" s="197" t="str">
        <f t="shared" si="12"/>
        <v/>
      </c>
      <c r="BQ10" s="198" t="str">
        <f>IF(BG10=0,"",(SUMPRODUCT(($D$4:$D$253=BD10)*($C$4:$C$253='F0 - Données générales'!$K$31)*($E$4:$E$253)*($F$4:$F$253))+SUMPRODUCT(($D$257:$D$281=BD10)*($C$257:$C$281='F0 - Données générales'!$K$31)*($E$257:$E$281)*($F$257:$F$281)))/(SUMIFS('F3 - Relevé du personnel'!$E$4:$E$281,'F3 - Relevé du personnel'!$D$4:$D$281,$BD10,'F3 - Relevé du personnel'!$C$4:$C$281,'F0 - Données générales'!$K$31)))</f>
        <v/>
      </c>
      <c r="BR10" s="40"/>
      <c r="BS10" s="784" t="s">
        <v>61</v>
      </c>
      <c r="BT10" s="785"/>
      <c r="BU10" s="91" t="s">
        <v>228</v>
      </c>
      <c r="BV10" s="282">
        <f ca="1">SUMIF($BB$4:$BC$32,$BS10,BH$4:BH$32)</f>
        <v>0</v>
      </c>
      <c r="BW10" s="92">
        <f ca="1">SUMIF($BB$4:$BC$32,$BS10,BG$4:BG$32)</f>
        <v>0</v>
      </c>
      <c r="BX10" s="92">
        <f ca="1">SUMIF($BB$43:$BC$71,$BS10,$BG$43:$BG$71)</f>
        <v>0</v>
      </c>
      <c r="BY10" s="92">
        <f ca="1">SUMIF($BB$82:$BC$110,$BS10,$BG$82:$BG$110)</f>
        <v>0</v>
      </c>
      <c r="BZ10" s="92">
        <f ca="1">SUMIF($BB$121:$BC$149,$BS10,$BG$121:$BG$149)</f>
        <v>0</v>
      </c>
      <c r="CA10" s="94">
        <f ca="1">SUM(BW10:BZ10)</f>
        <v>0</v>
      </c>
    </row>
    <row r="11" spans="1:79" ht="15" customHeight="1" x14ac:dyDescent="0.3">
      <c r="A11" s="106">
        <v>8</v>
      </c>
      <c r="B11" s="324">
        <f>'F0 - Données générales'!$C$4</f>
        <v>7</v>
      </c>
      <c r="C11" s="106" t="s">
        <v>95</v>
      </c>
      <c r="D11" s="106"/>
      <c r="E11" s="107"/>
      <c r="F11" s="108"/>
      <c r="G11" s="109"/>
      <c r="H11" s="110">
        <f t="shared" si="5"/>
        <v>0</v>
      </c>
      <c r="I11" s="177"/>
      <c r="J11" s="118" t="str">
        <f>IF(OR(D11="",F11=""),"",(((HLOOKUP(D11,'Carrières et points'!$A$20:$AD$60,F11+2,FALSE)*'Carrières et points'!$C$7*'Carrières et points'!$C$9)+(HLOOKUP(D11,'Carrières et points'!$A$20:$AD$60,F11+2,FALSE)*'Carrières et points'!$C$13*'Carrières et points'!$C$15))*(1+'F0 - Données générales'!$I$4)+((HLOOKUP(D11,'Carrières et points'!$A$20:$AD$60,F11+2,FALSE)*'Carrières et points'!$C$7*'Carrières et points'!$C$9)+(HLOOKUP(D11,'Carrières et points'!$A$20:$AD$60,F11+2,FALSE)*'Carrières et points'!$C$13*'Carrières et points'!$C$15))/12*(1+'F0 - Données générales'!$L$13))*E11)</f>
        <v/>
      </c>
      <c r="K11" s="118" t="str">
        <f t="shared" si="6"/>
        <v/>
      </c>
      <c r="L11" s="109"/>
      <c r="M11" s="177"/>
      <c r="N11" s="118" t="str">
        <f t="shared" si="0"/>
        <v/>
      </c>
      <c r="O11" s="177"/>
      <c r="P11" s="177"/>
      <c r="Q11" s="177"/>
      <c r="R11" s="255" t="str">
        <f t="shared" si="7"/>
        <v/>
      </c>
      <c r="S11" s="120"/>
      <c r="T11" s="742" t="s">
        <v>65</v>
      </c>
      <c r="U11" s="742"/>
      <c r="V11" s="26" t="s">
        <v>252</v>
      </c>
      <c r="W11" s="741" t="s">
        <v>78</v>
      </c>
      <c r="X11" s="741"/>
      <c r="Y11" s="181">
        <f>SUMIFS('F3 - Relevé du personnel'!$E$4:$E$281,'F3 - Relevé du personnel'!$D$4:$D$281,$V11,'F3 - Relevé du personnel'!$C$4:$C$281,'F0 - Données générales'!$K$31,'F3 - Relevé du personnel'!$B$4:$B$281,7)</f>
        <v>0</v>
      </c>
      <c r="Z11" s="181">
        <f>SUMIFS('F3 - Relevé du personnel'!$H$4:$H$281,'F3 - Relevé du personnel'!$D$4:$D$281,$V11,'F3 - Relevé du personnel'!$C$4:$C$281,'F0 - Données générales'!$K$31,'F3 - Relevé du personnel'!$B$4:$B$281,7)</f>
        <v>0</v>
      </c>
      <c r="AA11" s="256">
        <f>SUMIFS('F3 - Relevé du personnel'!$I$4:$I$281,'F3 - Relevé du personnel'!$D$4:$D$281,$V11,'F3 - Relevé du personnel'!$C$4:$C$281,'F0 - Données générales'!$K$31,'F3 - Relevé du personnel'!$B$4:$B$281,7)</f>
        <v>0</v>
      </c>
      <c r="AB11" s="256">
        <f>SUMIFS('F3 - Relevé du personnel'!$M$4:$M$281,'F3 - Relevé du personnel'!$D$4:$D$281,$V11,'F3 - Relevé du personnel'!$C$4:$C$281,'F0 - Données générales'!$K$31,'F3 - Relevé du personnel'!$B$4:$B$281,7)</f>
        <v>0</v>
      </c>
      <c r="AC11" s="196">
        <f t="shared" si="1"/>
        <v>0</v>
      </c>
      <c r="AD11" s="256">
        <f>SUMIFS('F3 - Relevé du personnel'!$O$4:$O$281,'F3 - Relevé du personnel'!$D$4:$D$281,$V11,'F3 - Relevé du personnel'!$C$4:$C$281,'F0 - Données générales'!$K$31,'F3 - Relevé du personnel'!$B$4:$B$281,7)</f>
        <v>0</v>
      </c>
      <c r="AE11" s="256">
        <f>SUMIFS('F3 - Relevé du personnel'!$P$4:$P$281,'F3 - Relevé du personnel'!$D$4:$D$281,$V11,'F3 - Relevé du personnel'!$C$4:$C$281,'F0 - Données générales'!$K$31,'F3 - Relevé du personnel'!$B$4:$B$281,7)</f>
        <v>0</v>
      </c>
      <c r="AF11" s="256">
        <f>SUMIFS('F3 - Relevé du personnel'!$Q$4:$Q$281,'F3 - Relevé du personnel'!$D$4:$D$281,$V11,'F3 - Relevé du personnel'!$C$4:$C$281,'F0 - Données générales'!$K$31,'F3 - Relevé du personnel'!$B$4:$B$281,7)</f>
        <v>0</v>
      </c>
      <c r="AG11" s="182">
        <f t="shared" si="2"/>
        <v>0</v>
      </c>
      <c r="AH11" s="197" t="str">
        <f t="shared" si="8"/>
        <v/>
      </c>
      <c r="AI11" s="198" t="str">
        <f>IF(Y11=0,"",(SUMPRODUCT(($D$4:$D$253=V11)*($C$4:$C$253='F0 - Données générales'!$K$31)*($E$4:$E$253)*($F$4:$F$253)*($B$4:$B$253=7))+SUMPRODUCT(($D$257:$D$281=V11)*($C$257:$C$281='F0 - Données générales'!$K$31)*($B$257:$B$281=7)*($E$257:$E$281)*($F$257:$F$281)))/(SUMIFS('F3 - Relevé du personnel'!$E$4:$E$281,'F3 - Relevé du personnel'!$D$4:$D$281,$V11,'F3 - Relevé du personnel'!$C$4:$C$281,'F0 - Données générales'!$K$31,'F3 - Relevé du personnel'!$B$4:$B$281,7)))</f>
        <v/>
      </c>
      <c r="AJ11" s="120"/>
      <c r="AK11" s="742" t="s">
        <v>65</v>
      </c>
      <c r="AL11" s="742"/>
      <c r="AM11" s="26" t="s">
        <v>252</v>
      </c>
      <c r="AN11" s="741" t="s">
        <v>78</v>
      </c>
      <c r="AO11" s="741"/>
      <c r="AP11" s="181">
        <f>SUMIFS('F3 - Relevé du personnel'!$E$4:$E$281,'F3 - Relevé du personnel'!$D$4:$D$281,$AM11,'F3 - Relevé du personnel'!$C$4:$C$281,'F0 - Données générales'!$K$31,'F3 - Relevé du personnel'!$B$4:$B$281,"base-ortho")</f>
        <v>0</v>
      </c>
      <c r="AQ11" s="181">
        <f>SUMIFS('F3 - Relevé du personnel'!$H$4:$H$281,'F3 - Relevé du personnel'!$D$4:$D$281,$AM11,'F3 - Relevé du personnel'!$C$4:$C$281,'F0 - Données générales'!$K$31,'F3 - Relevé du personnel'!$B$4:$B$281,"base-ortho")</f>
        <v>0</v>
      </c>
      <c r="AR11" s="256">
        <f>SUMIFS('F3 - Relevé du personnel'!$I$4:$I$281,'F3 - Relevé du personnel'!$D$4:$D$281,$AM11,'F3 - Relevé du personnel'!$C$4:$C$281,'F0 - Données générales'!$K$31,'F3 - Relevé du personnel'!$B$4:$B$281,"base-ortho")</f>
        <v>0</v>
      </c>
      <c r="AS11" s="256">
        <f>SUMIFS('F3 - Relevé du personnel'!$M$4:$M$281,'F3 - Relevé du personnel'!$D$4:$D$281,$AM11,'F3 - Relevé du personnel'!$C$4:$C$281,'F0 - Données générales'!$K$31,'F3 - Relevé du personnel'!$B$4:$B$281,"base-ortho")</f>
        <v>0</v>
      </c>
      <c r="AT11" s="196">
        <f t="shared" si="9"/>
        <v>0</v>
      </c>
      <c r="AU11" s="256">
        <f>SUMIFS('F3 - Relevé du personnel'!$O$4:$O$281,'F3 - Relevé du personnel'!$D$4:$D$281,$AM11,'F3 - Relevé du personnel'!$C$4:$C$281,'F0 - Données générales'!$K$31,'F3 - Relevé du personnel'!$B$4:$B$281,"base-ortho")</f>
        <v>0</v>
      </c>
      <c r="AV11" s="256">
        <f>SUMIFS('F3 - Relevé du personnel'!$P$4:$P$281,'F3 - Relevé du personnel'!$D$4:$D$281,$AM11,'F3 - Relevé du personnel'!$C$4:$C$281,'F0 - Données générales'!$K$31,'F3 - Relevé du personnel'!$B$4:$B$281,"base-ortho")</f>
        <v>0</v>
      </c>
      <c r="AW11" s="256">
        <f>SUMIFS('F3 - Relevé du personnel'!$Q$4:$Q$281,'F3 - Relevé du personnel'!$D$4:$D$281,$AM11,'F3 - Relevé du personnel'!$C$4:$C$281,'F0 - Données générales'!$K$31,'F3 - Relevé du personnel'!$B$4:$B$281,"base-ortho")</f>
        <v>0</v>
      </c>
      <c r="AX11" s="182">
        <f t="shared" si="10"/>
        <v>0</v>
      </c>
      <c r="AY11" s="197" t="str">
        <f t="shared" si="11"/>
        <v/>
      </c>
      <c r="AZ11" s="198" t="str">
        <f>IF(AP11=0,"",(SUMPRODUCT(($D$4:$D$253=AM11)*($C$4:$C$253='F0 - Données générales'!$K$31)*($E$4:$E$253)*($F$4:$F$253)*($B$4:$B$253="base-ortho"))+SUMPRODUCT(($D$257:$D$281=AM11)*($C$257:$C$281='F0 - Données générales'!$K$31)*($B$257:$B$281="base-ortho")*($E$257:$E$281)*($F$257:$F$281)))/(SUMIFS('F3 - Relevé du personnel'!$E$4:$E$281,'F3 - Relevé du personnel'!$D$4:$D$281,$AM11,'F3 - Relevé du personnel'!$C$4:$C$281,'F0 - Données générales'!$K$31,'F3 - Relevé du personnel'!$B$4:$B$281,"base-ortho")))</f>
        <v/>
      </c>
      <c r="BA11" s="120"/>
      <c r="BB11" s="796" t="s">
        <v>65</v>
      </c>
      <c r="BC11" s="797"/>
      <c r="BD11" s="26" t="s">
        <v>252</v>
      </c>
      <c r="BE11" s="801" t="s">
        <v>78</v>
      </c>
      <c r="BF11" s="802"/>
      <c r="BG11" s="181">
        <f>SUMIFS('F3 - Relevé du personnel'!$E$4:$E$281,'F3 - Relevé du personnel'!$D$4:$D$281,$BD11,'F3 - Relevé du personnel'!$C$4:$C$281,'F0 - Données générales'!$K$31)</f>
        <v>0</v>
      </c>
      <c r="BH11" s="181">
        <f>SUMIFS('F3 - Relevé du personnel'!$H$4:$H$281,'F3 - Relevé du personnel'!$D$4:$D$281,$BD11,'F3 - Relevé du personnel'!$C$4:$C$281,'F0 - Données générales'!$K$31)</f>
        <v>0</v>
      </c>
      <c r="BI11" s="256">
        <f>SUMIFS('F3 - Relevé du personnel'!$I$4:$I$281,'F3 - Relevé du personnel'!$D$4:$D$281,$BD11,'F3 - Relevé du personnel'!$C$4:$C$281,'F0 - Données générales'!$K$31)</f>
        <v>0</v>
      </c>
      <c r="BJ11" s="256">
        <f>SUMIFS('F3 - Relevé du personnel'!$M$4:$M$281,'F3 - Relevé du personnel'!$D$4:$D$281,$BD11,'F3 - Relevé du personnel'!$C$4:$C$281,'F0 - Données générales'!$K$31)</f>
        <v>0</v>
      </c>
      <c r="BK11" s="196">
        <f t="shared" si="3"/>
        <v>0</v>
      </c>
      <c r="BL11" s="256">
        <f>SUMIFS('F3 - Relevé du personnel'!$O$4:$O$281,'F3 - Relevé du personnel'!$D$4:$D$281,$BD11,'F3 - Relevé du personnel'!$C$4:$C$281,'F0 - Données générales'!$K$31)</f>
        <v>0</v>
      </c>
      <c r="BM11" s="256">
        <f>SUMIFS('F3 - Relevé du personnel'!$P$4:$P$281,'F3 - Relevé du personnel'!$D$4:$D$281,$BD11,'F3 - Relevé du personnel'!$C$4:$C$281,'F0 - Données générales'!$K$31)</f>
        <v>0</v>
      </c>
      <c r="BN11" s="256">
        <f>SUMIFS('F3 - Relevé du personnel'!$Q$4:$Q$281,'F3 - Relevé du personnel'!$D$4:$D$281,$BD11,'F3 - Relevé du personnel'!$C$4:$C$281,'F0 - Données générales'!$K$31)</f>
        <v>0</v>
      </c>
      <c r="BO11" s="182">
        <f t="shared" si="4"/>
        <v>0</v>
      </c>
      <c r="BP11" s="197" t="str">
        <f t="shared" si="12"/>
        <v/>
      </c>
      <c r="BQ11" s="198" t="str">
        <f>IF(BG11=0,"",(SUMPRODUCT(($D$4:$D$253=BD11)*($C$4:$C$253='F0 - Données générales'!$K$31)*($E$4:$E$253)*($F$4:$F$253))+SUMPRODUCT(($D$257:$D$281=BD11)*($C$257:$C$281='F0 - Données générales'!$K$31)*($E$257:$E$281)*($F$257:$F$281)))/(SUMIFS('F3 - Relevé du personnel'!$E$4:$E$281,'F3 - Relevé du personnel'!$D$4:$D$281,$BD11,'F3 - Relevé du personnel'!$C$4:$C$281,'F0 - Données générales'!$K$31)))</f>
        <v/>
      </c>
      <c r="BR11" s="40"/>
      <c r="BS11" s="786"/>
      <c r="BT11" s="787"/>
      <c r="BU11" s="95" t="s">
        <v>229</v>
      </c>
      <c r="BV11" s="283">
        <f t="shared" ref="BV11:CA11" ca="1" si="16">IF(BV10=0,0,BV10/BV$12)</f>
        <v>0</v>
      </c>
      <c r="BW11" s="71">
        <f t="shared" ca="1" si="16"/>
        <v>0</v>
      </c>
      <c r="BX11" s="71">
        <f t="shared" ca="1" si="16"/>
        <v>0</v>
      </c>
      <c r="BY11" s="71">
        <f t="shared" ca="1" si="16"/>
        <v>0</v>
      </c>
      <c r="BZ11" s="71">
        <f t="shared" ca="1" si="16"/>
        <v>0</v>
      </c>
      <c r="CA11" s="30">
        <f t="shared" ca="1" si="16"/>
        <v>0</v>
      </c>
    </row>
    <row r="12" spans="1:79" ht="15" customHeight="1" x14ac:dyDescent="0.3">
      <c r="A12" s="106">
        <v>9</v>
      </c>
      <c r="B12" s="324">
        <f>'F0 - Données générales'!$C$4</f>
        <v>7</v>
      </c>
      <c r="C12" s="106" t="s">
        <v>95</v>
      </c>
      <c r="D12" s="106"/>
      <c r="E12" s="107"/>
      <c r="F12" s="108"/>
      <c r="G12" s="109"/>
      <c r="H12" s="110">
        <f t="shared" si="5"/>
        <v>0</v>
      </c>
      <c r="I12" s="177"/>
      <c r="J12" s="118" t="str">
        <f>IF(OR(D12="",F12=""),"",(((HLOOKUP(D12,'Carrières et points'!$A$20:$AD$60,F12+2,FALSE)*'Carrières et points'!$C$7*'Carrières et points'!$C$9)+(HLOOKUP(D12,'Carrières et points'!$A$20:$AD$60,F12+2,FALSE)*'Carrières et points'!$C$13*'Carrières et points'!$C$15))*(1+'F0 - Données générales'!$I$4)+((HLOOKUP(D12,'Carrières et points'!$A$20:$AD$60,F12+2,FALSE)*'Carrières et points'!$C$7*'Carrières et points'!$C$9)+(HLOOKUP(D12,'Carrières et points'!$A$20:$AD$60,F12+2,FALSE)*'Carrières et points'!$C$13*'Carrières et points'!$C$15))/12*(1+'F0 - Données générales'!$L$13))*E12)</f>
        <v/>
      </c>
      <c r="K12" s="118" t="str">
        <f t="shared" si="6"/>
        <v/>
      </c>
      <c r="L12" s="109"/>
      <c r="M12" s="177"/>
      <c r="N12" s="118" t="str">
        <f t="shared" si="0"/>
        <v/>
      </c>
      <c r="O12" s="177"/>
      <c r="P12" s="177"/>
      <c r="Q12" s="177"/>
      <c r="R12" s="255" t="str">
        <f t="shared" si="7"/>
        <v/>
      </c>
      <c r="S12" s="120"/>
      <c r="T12" s="742" t="s">
        <v>79</v>
      </c>
      <c r="U12" s="742"/>
      <c r="V12" s="26" t="s">
        <v>253</v>
      </c>
      <c r="W12" s="741" t="s">
        <v>78</v>
      </c>
      <c r="X12" s="741"/>
      <c r="Y12" s="181">
        <f>SUMIFS('F3 - Relevé du personnel'!$E$4:$E$281,'F3 - Relevé du personnel'!$D$4:$D$281,$V12,'F3 - Relevé du personnel'!$C$4:$C$281,'F0 - Données générales'!$K$31,'F3 - Relevé du personnel'!$B$4:$B$281,7)</f>
        <v>0</v>
      </c>
      <c r="Z12" s="181">
        <f>SUMIFS('F3 - Relevé du personnel'!$H$4:$H$281,'F3 - Relevé du personnel'!$D$4:$D$281,$V12,'F3 - Relevé du personnel'!$C$4:$C$281,'F0 - Données générales'!$K$31,'F3 - Relevé du personnel'!$B$4:$B$281,7)</f>
        <v>0</v>
      </c>
      <c r="AA12" s="256">
        <f>SUMIFS('F3 - Relevé du personnel'!$I$4:$I$281,'F3 - Relevé du personnel'!$D$4:$D$281,$V12,'F3 - Relevé du personnel'!$C$4:$C$281,'F0 - Données générales'!$K$31,'F3 - Relevé du personnel'!$B$4:$B$281,7)</f>
        <v>0</v>
      </c>
      <c r="AB12" s="256">
        <f>SUMIFS('F3 - Relevé du personnel'!$M$4:$M$281,'F3 - Relevé du personnel'!$D$4:$D$281,$V12,'F3 - Relevé du personnel'!$C$4:$C$281,'F0 - Données générales'!$K$31,'F3 - Relevé du personnel'!$B$4:$B$281,7)</f>
        <v>0</v>
      </c>
      <c r="AC12" s="196">
        <f t="shared" si="1"/>
        <v>0</v>
      </c>
      <c r="AD12" s="256">
        <f>SUMIFS('F3 - Relevé du personnel'!$O$4:$O$281,'F3 - Relevé du personnel'!$D$4:$D$281,$V12,'F3 - Relevé du personnel'!$C$4:$C$281,'F0 - Données générales'!$K$31,'F3 - Relevé du personnel'!$B$4:$B$281,7)</f>
        <v>0</v>
      </c>
      <c r="AE12" s="256">
        <f>SUMIFS('F3 - Relevé du personnel'!$P$4:$P$281,'F3 - Relevé du personnel'!$D$4:$D$281,$V12,'F3 - Relevé du personnel'!$C$4:$C$281,'F0 - Données générales'!$K$31,'F3 - Relevé du personnel'!$B$4:$B$281,7)</f>
        <v>0</v>
      </c>
      <c r="AF12" s="256">
        <f>SUMIFS('F3 - Relevé du personnel'!$Q$4:$Q$281,'F3 - Relevé du personnel'!$D$4:$D$281,$V12,'F3 - Relevé du personnel'!$C$4:$C$281,'F0 - Données générales'!$K$31,'F3 - Relevé du personnel'!$B$4:$B$281,7)</f>
        <v>0</v>
      </c>
      <c r="AG12" s="182">
        <f t="shared" si="2"/>
        <v>0</v>
      </c>
      <c r="AH12" s="197" t="str">
        <f t="shared" si="8"/>
        <v/>
      </c>
      <c r="AI12" s="198" t="str">
        <f>IF(Y12=0,"",(SUMPRODUCT(($D$4:$D$253=V12)*($C$4:$C$253='F0 - Données générales'!$K$31)*($E$4:$E$253)*($F$4:$F$253)*($B$4:$B$253=7))+SUMPRODUCT(($D$257:$D$281=V12)*($C$257:$C$281='F0 - Données générales'!$K$31)*($B$257:$B$281=7)*($E$257:$E$281)*($F$257:$F$281)))/(SUMIFS('F3 - Relevé du personnel'!$E$4:$E$281,'F3 - Relevé du personnel'!$D$4:$D$281,$V12,'F3 - Relevé du personnel'!$C$4:$C$281,'F0 - Données générales'!$K$31,'F3 - Relevé du personnel'!$B$4:$B$281,7)))</f>
        <v/>
      </c>
      <c r="AJ12" s="120"/>
      <c r="AK12" s="742" t="s">
        <v>79</v>
      </c>
      <c r="AL12" s="742"/>
      <c r="AM12" s="26" t="s">
        <v>253</v>
      </c>
      <c r="AN12" s="741" t="s">
        <v>78</v>
      </c>
      <c r="AO12" s="741"/>
      <c r="AP12" s="181">
        <f>SUMIFS('F3 - Relevé du personnel'!$E$4:$E$281,'F3 - Relevé du personnel'!$D$4:$D$281,$AM12,'F3 - Relevé du personnel'!$C$4:$C$281,'F0 - Données générales'!$K$31,'F3 - Relevé du personnel'!$B$4:$B$281,"base-ortho")</f>
        <v>0</v>
      </c>
      <c r="AQ12" s="181">
        <f>SUMIFS('F3 - Relevé du personnel'!$H$4:$H$281,'F3 - Relevé du personnel'!$D$4:$D$281,$AM12,'F3 - Relevé du personnel'!$C$4:$C$281,'F0 - Données générales'!$K$31,'F3 - Relevé du personnel'!$B$4:$B$281,"base-ortho")</f>
        <v>0</v>
      </c>
      <c r="AR12" s="256">
        <f>SUMIFS('F3 - Relevé du personnel'!$I$4:$I$281,'F3 - Relevé du personnel'!$D$4:$D$281,$AM12,'F3 - Relevé du personnel'!$C$4:$C$281,'F0 - Données générales'!$K$31,'F3 - Relevé du personnel'!$B$4:$B$281,"base-ortho")</f>
        <v>0</v>
      </c>
      <c r="AS12" s="256">
        <f>SUMIFS('F3 - Relevé du personnel'!$M$4:$M$281,'F3 - Relevé du personnel'!$D$4:$D$281,$AM12,'F3 - Relevé du personnel'!$C$4:$C$281,'F0 - Données générales'!$K$31,'F3 - Relevé du personnel'!$B$4:$B$281,"base-ortho")</f>
        <v>0</v>
      </c>
      <c r="AT12" s="196">
        <f t="shared" si="9"/>
        <v>0</v>
      </c>
      <c r="AU12" s="256">
        <f>SUMIFS('F3 - Relevé du personnel'!$O$4:$O$281,'F3 - Relevé du personnel'!$D$4:$D$281,$AM12,'F3 - Relevé du personnel'!$C$4:$C$281,'F0 - Données générales'!$K$31,'F3 - Relevé du personnel'!$B$4:$B$281,"base-ortho")</f>
        <v>0</v>
      </c>
      <c r="AV12" s="256">
        <f>SUMIFS('F3 - Relevé du personnel'!$P$4:$P$281,'F3 - Relevé du personnel'!$D$4:$D$281,$AM12,'F3 - Relevé du personnel'!$C$4:$C$281,'F0 - Données générales'!$K$31,'F3 - Relevé du personnel'!$B$4:$B$281,"base-ortho")</f>
        <v>0</v>
      </c>
      <c r="AW12" s="256">
        <f>SUMIFS('F3 - Relevé du personnel'!$Q$4:$Q$281,'F3 - Relevé du personnel'!$D$4:$D$281,$AM12,'F3 - Relevé du personnel'!$C$4:$C$281,'F0 - Données générales'!$K$31,'F3 - Relevé du personnel'!$B$4:$B$281,"base-ortho")</f>
        <v>0</v>
      </c>
      <c r="AX12" s="182">
        <f t="shared" si="10"/>
        <v>0</v>
      </c>
      <c r="AY12" s="197" t="str">
        <f t="shared" si="11"/>
        <v/>
      </c>
      <c r="AZ12" s="198" t="str">
        <f>IF(AP12=0,"",(SUMPRODUCT(($D$4:$D$253=AM12)*($C$4:$C$253='F0 - Données générales'!$K$31)*($E$4:$E$253)*($F$4:$F$253)*($B$4:$B$253="base-ortho"))+SUMPRODUCT(($D$257:$D$281=AM12)*($C$257:$C$281='F0 - Données générales'!$K$31)*($B$257:$B$281="base-ortho")*($E$257:$E$281)*($F$257:$F$281)))/(SUMIFS('F3 - Relevé du personnel'!$E$4:$E$281,'F3 - Relevé du personnel'!$D$4:$D$281,$AM12,'F3 - Relevé du personnel'!$C$4:$C$281,'F0 - Données générales'!$K$31,'F3 - Relevé du personnel'!$B$4:$B$281,"base-ortho")))</f>
        <v/>
      </c>
      <c r="BA12" s="120"/>
      <c r="BB12" s="796" t="s">
        <v>79</v>
      </c>
      <c r="BC12" s="797"/>
      <c r="BD12" s="26" t="s">
        <v>253</v>
      </c>
      <c r="BE12" s="801" t="s">
        <v>78</v>
      </c>
      <c r="BF12" s="802"/>
      <c r="BG12" s="181">
        <f>SUMIFS('F3 - Relevé du personnel'!$E$4:$E$281,'F3 - Relevé du personnel'!$D$4:$D$281,$BD12,'F3 - Relevé du personnel'!$C$4:$C$281,'F0 - Données générales'!$K$31)</f>
        <v>0</v>
      </c>
      <c r="BH12" s="181">
        <f>SUMIFS('F3 - Relevé du personnel'!$H$4:$H$281,'F3 - Relevé du personnel'!$D$4:$D$281,$BD12,'F3 - Relevé du personnel'!$C$4:$C$281,'F0 - Données générales'!$K$31)</f>
        <v>0</v>
      </c>
      <c r="BI12" s="256">
        <f>SUMIFS('F3 - Relevé du personnel'!$I$4:$I$281,'F3 - Relevé du personnel'!$D$4:$D$281,$BD12,'F3 - Relevé du personnel'!$C$4:$C$281,'F0 - Données générales'!$K$31)</f>
        <v>0</v>
      </c>
      <c r="BJ12" s="256">
        <f>SUMIFS('F3 - Relevé du personnel'!$M$4:$M$281,'F3 - Relevé du personnel'!$D$4:$D$281,$BD12,'F3 - Relevé du personnel'!$C$4:$C$281,'F0 - Données générales'!$K$31)</f>
        <v>0</v>
      </c>
      <c r="BK12" s="196">
        <f t="shared" si="3"/>
        <v>0</v>
      </c>
      <c r="BL12" s="256">
        <f>SUMIFS('F3 - Relevé du personnel'!$O$4:$O$281,'F3 - Relevé du personnel'!$D$4:$D$281,$BD12,'F3 - Relevé du personnel'!$C$4:$C$281,'F0 - Données générales'!$K$31)</f>
        <v>0</v>
      </c>
      <c r="BM12" s="256">
        <f>SUMIFS('F3 - Relevé du personnel'!$P$4:$P$281,'F3 - Relevé du personnel'!$D$4:$D$281,$BD12,'F3 - Relevé du personnel'!$C$4:$C$281,'F0 - Données générales'!$K$31)</f>
        <v>0</v>
      </c>
      <c r="BN12" s="256">
        <f>SUMIFS('F3 - Relevé du personnel'!$Q$4:$Q$281,'F3 - Relevé du personnel'!$D$4:$D$281,$BD12,'F3 - Relevé du personnel'!$C$4:$C$281,'F0 - Données générales'!$K$31)</f>
        <v>0</v>
      </c>
      <c r="BO12" s="182">
        <f t="shared" si="4"/>
        <v>0</v>
      </c>
      <c r="BP12" s="197" t="str">
        <f t="shared" si="12"/>
        <v/>
      </c>
      <c r="BQ12" s="198" t="str">
        <f>IF(BG12=0,"",(SUMPRODUCT(($D$4:$D$253=BD12)*($C$4:$C$253='F0 - Données générales'!$K$31)*($E$4:$E$253)*($F$4:$F$253))+SUMPRODUCT(($D$257:$D$281=BD12)*($C$257:$C$281='F0 - Données générales'!$K$31)*($E$257:$E$281)*($F$257:$F$281)))/(SUMIFS('F3 - Relevé du personnel'!$E$4:$E$281,'F3 - Relevé du personnel'!$D$4:$D$281,$BD12,'F3 - Relevé du personnel'!$C$4:$C$281,'F0 - Données générales'!$K$31)))</f>
        <v/>
      </c>
      <c r="BR12" s="40"/>
      <c r="BS12" s="788" t="s">
        <v>57</v>
      </c>
      <c r="BT12" s="789"/>
      <c r="BU12" s="31" t="s">
        <v>228</v>
      </c>
      <c r="BV12" s="284">
        <f ca="1">SUM(BV4,BV6,BV8,BV10)</f>
        <v>0</v>
      </c>
      <c r="BW12" s="53">
        <f ca="1">SUM(BW4,BW6,BW8,BW10)</f>
        <v>0</v>
      </c>
      <c r="BX12" s="53">
        <f ca="1">SUM(BX4,BX6,BX8,BX10)</f>
        <v>0</v>
      </c>
      <c r="BY12" s="53">
        <f ca="1">SUM(BY4,BY6,BY8,BY10)</f>
        <v>0</v>
      </c>
      <c r="BZ12" s="53">
        <f ca="1">SUM(BZ4,BZ6,BZ8,BZ10)</f>
        <v>0</v>
      </c>
      <c r="CA12" s="54">
        <f ca="1">SUM(BW12:BZ12)</f>
        <v>0</v>
      </c>
    </row>
    <row r="13" spans="1:79" x14ac:dyDescent="0.3">
      <c r="A13" s="106">
        <v>10</v>
      </c>
      <c r="B13" s="324">
        <f>'F0 - Données générales'!$C$4</f>
        <v>7</v>
      </c>
      <c r="C13" s="106" t="s">
        <v>95</v>
      </c>
      <c r="D13" s="106"/>
      <c r="E13" s="107"/>
      <c r="F13" s="108"/>
      <c r="G13" s="109"/>
      <c r="H13" s="110">
        <f t="shared" si="5"/>
        <v>0</v>
      </c>
      <c r="I13" s="177"/>
      <c r="J13" s="118" t="str">
        <f>IF(OR(D13="",F13=""),"",(((HLOOKUP(D13,'Carrières et points'!$A$20:$AD$60,F13+2,FALSE)*'Carrières et points'!$C$7*'Carrières et points'!$C$9)+(HLOOKUP(D13,'Carrières et points'!$A$20:$AD$60,F13+2,FALSE)*'Carrières et points'!$C$13*'Carrières et points'!$C$15))*(1+'F0 - Données générales'!$I$4)+((HLOOKUP(D13,'Carrières et points'!$A$20:$AD$60,F13+2,FALSE)*'Carrières et points'!$C$7*'Carrières et points'!$C$9)+(HLOOKUP(D13,'Carrières et points'!$A$20:$AD$60,F13+2,FALSE)*'Carrières et points'!$C$13*'Carrières et points'!$C$15))/12*(1+'F0 - Données générales'!$L$13))*E13)</f>
        <v/>
      </c>
      <c r="K13" s="118" t="str">
        <f t="shared" si="6"/>
        <v/>
      </c>
      <c r="L13" s="109"/>
      <c r="M13" s="177"/>
      <c r="N13" s="118" t="str">
        <f t="shared" si="0"/>
        <v/>
      </c>
      <c r="O13" s="177"/>
      <c r="P13" s="177"/>
      <c r="Q13" s="177"/>
      <c r="R13" s="255" t="str">
        <f t="shared" si="7"/>
        <v/>
      </c>
      <c r="S13" s="120"/>
      <c r="T13" s="743"/>
      <c r="U13" s="743"/>
      <c r="V13" s="749" t="s">
        <v>165</v>
      </c>
      <c r="W13" s="749"/>
      <c r="X13" s="749"/>
      <c r="Y13" s="199">
        <f>SUM(Y4:Y12)</f>
        <v>0</v>
      </c>
      <c r="Z13" s="199">
        <f>SUM(Z4:Z12)</f>
        <v>0</v>
      </c>
      <c r="AA13" s="200">
        <f>SUM(AA4:AA12)</f>
        <v>0</v>
      </c>
      <c r="AB13" s="200">
        <f>SUM(AB4:AB12)</f>
        <v>0</v>
      </c>
      <c r="AC13" s="200">
        <f t="shared" si="1"/>
        <v>0</v>
      </c>
      <c r="AD13" s="200">
        <f>SUM(AD4:AD12)</f>
        <v>0</v>
      </c>
      <c r="AE13" s="200">
        <f>SUM(AE4:AE12)</f>
        <v>0</v>
      </c>
      <c r="AF13" s="200">
        <f>SUM(AF4:AF12)</f>
        <v>0</v>
      </c>
      <c r="AG13" s="201">
        <f t="shared" si="2"/>
        <v>0</v>
      </c>
      <c r="AH13" s="201" t="str">
        <f t="shared" si="8"/>
        <v/>
      </c>
      <c r="AI13" s="202"/>
      <c r="AJ13" s="120"/>
      <c r="AK13" s="743"/>
      <c r="AL13" s="743"/>
      <c r="AM13" s="749" t="s">
        <v>165</v>
      </c>
      <c r="AN13" s="749"/>
      <c r="AO13" s="749"/>
      <c r="AP13" s="199">
        <f>SUM(AP4:AP12)</f>
        <v>0</v>
      </c>
      <c r="AQ13" s="199">
        <f>SUM(AQ4:AQ12)</f>
        <v>0</v>
      </c>
      <c r="AR13" s="200">
        <f>SUM(AR4:AR12)</f>
        <v>0</v>
      </c>
      <c r="AS13" s="200">
        <f>SUM(AS4:AS12)</f>
        <v>0</v>
      </c>
      <c r="AT13" s="200">
        <f>(AR13+AS13)</f>
        <v>0</v>
      </c>
      <c r="AU13" s="200">
        <f>SUM(AU4:AU12)</f>
        <v>0</v>
      </c>
      <c r="AV13" s="200">
        <f>SUM(AV4:AV12)</f>
        <v>0</v>
      </c>
      <c r="AW13" s="200">
        <f>SUM(AW4:AW12)</f>
        <v>0</v>
      </c>
      <c r="AX13" s="201">
        <f>AR13+AS13-SUM(AU13:AW13)</f>
        <v>0</v>
      </c>
      <c r="AY13" s="201" t="str">
        <f t="shared" ref="AY13:AY34" si="17">IF(AP13=0,"",(AX13)/AP13)</f>
        <v/>
      </c>
      <c r="AZ13" s="202"/>
      <c r="BA13" s="120"/>
      <c r="BB13" s="764"/>
      <c r="BC13" s="765"/>
      <c r="BD13" s="798" t="s">
        <v>165</v>
      </c>
      <c r="BE13" s="799"/>
      <c r="BF13" s="800"/>
      <c r="BG13" s="199">
        <f>SUM(BG4:BG12)</f>
        <v>0</v>
      </c>
      <c r="BH13" s="199">
        <f>SUM(BH4:BH12)</f>
        <v>0</v>
      </c>
      <c r="BI13" s="200">
        <f>SUM(BI4:BI12)</f>
        <v>0</v>
      </c>
      <c r="BJ13" s="200">
        <f>SUM(BJ4:BJ12)</f>
        <v>0</v>
      </c>
      <c r="BK13" s="200">
        <f t="shared" si="3"/>
        <v>0</v>
      </c>
      <c r="BL13" s="200">
        <f>SUM(BL4:BL12)</f>
        <v>0</v>
      </c>
      <c r="BM13" s="200">
        <f>SUM(BM4:BM12)</f>
        <v>0</v>
      </c>
      <c r="BN13" s="200">
        <f>SUM(BN4:BN12)</f>
        <v>0</v>
      </c>
      <c r="BO13" s="201">
        <f t="shared" si="4"/>
        <v>0</v>
      </c>
      <c r="BP13" s="201" t="str">
        <f t="shared" si="12"/>
        <v/>
      </c>
      <c r="BQ13" s="202"/>
      <c r="BR13" s="40"/>
      <c r="BS13" s="790"/>
      <c r="BT13" s="791"/>
      <c r="BU13" s="32" t="s">
        <v>229</v>
      </c>
      <c r="BV13" s="285">
        <f t="shared" ref="BV13:CA13" ca="1" si="18">IF(BV12=0,0,BV12/BV$12)</f>
        <v>0</v>
      </c>
      <c r="BW13" s="33">
        <f t="shared" ca="1" si="18"/>
        <v>0</v>
      </c>
      <c r="BX13" s="33">
        <f t="shared" ca="1" si="18"/>
        <v>0</v>
      </c>
      <c r="BY13" s="33">
        <f t="shared" ca="1" si="18"/>
        <v>0</v>
      </c>
      <c r="BZ13" s="33">
        <f t="shared" ca="1" si="18"/>
        <v>0</v>
      </c>
      <c r="CA13" s="34">
        <f t="shared" ca="1" si="18"/>
        <v>0</v>
      </c>
    </row>
    <row r="14" spans="1:79" x14ac:dyDescent="0.3">
      <c r="A14" s="106">
        <v>11</v>
      </c>
      <c r="B14" s="324">
        <f>'F0 - Données générales'!$C$4</f>
        <v>7</v>
      </c>
      <c r="C14" s="106" t="s">
        <v>95</v>
      </c>
      <c r="D14" s="106"/>
      <c r="E14" s="107"/>
      <c r="F14" s="108"/>
      <c r="G14" s="109"/>
      <c r="H14" s="110">
        <f t="shared" si="5"/>
        <v>0</v>
      </c>
      <c r="I14" s="177"/>
      <c r="J14" s="118" t="str">
        <f>IF(OR(D14="",F14=""),"",(((HLOOKUP(D14,'Carrières et points'!$A$20:$AD$60,F14+2,FALSE)*'Carrières et points'!$C$7*'Carrières et points'!$C$9)+(HLOOKUP(D14,'Carrières et points'!$A$20:$AD$60,F14+2,FALSE)*'Carrières et points'!$C$13*'Carrières et points'!$C$15))*(1+'F0 - Données générales'!$I$4)+((HLOOKUP(D14,'Carrières et points'!$A$20:$AD$60,F14+2,FALSE)*'Carrières et points'!$C$7*'Carrières et points'!$C$9)+(HLOOKUP(D14,'Carrières et points'!$A$20:$AD$60,F14+2,FALSE)*'Carrières et points'!$C$13*'Carrières et points'!$C$15))/12*(1+'F0 - Données générales'!$L$13))*E14)</f>
        <v/>
      </c>
      <c r="K14" s="118" t="str">
        <f t="shared" si="6"/>
        <v/>
      </c>
      <c r="L14" s="109"/>
      <c r="M14" s="177"/>
      <c r="N14" s="118" t="str">
        <f t="shared" si="0"/>
        <v/>
      </c>
      <c r="O14" s="177"/>
      <c r="P14" s="177"/>
      <c r="Q14" s="177"/>
      <c r="R14" s="255" t="str">
        <f t="shared" si="7"/>
        <v/>
      </c>
      <c r="S14" s="120"/>
      <c r="T14" s="742" t="s">
        <v>61</v>
      </c>
      <c r="U14" s="742"/>
      <c r="V14" s="26" t="s">
        <v>80</v>
      </c>
      <c r="W14" s="741" t="s">
        <v>81</v>
      </c>
      <c r="X14" s="741"/>
      <c r="Y14" s="181">
        <f>SUMIFS('F3 - Relevé du personnel'!$E$4:$E$281,'F3 - Relevé du personnel'!$D$4:$D$281,$V14,'F3 - Relevé du personnel'!$C$4:$C$281,'F0 - Données générales'!$K$31,'F3 - Relevé du personnel'!$B$4:$B$281,7)</f>
        <v>0</v>
      </c>
      <c r="Z14" s="181">
        <f>SUMIFS('F3 - Relevé du personnel'!$H$4:$H$281,'F3 - Relevé du personnel'!$D$4:$D$281,$V14,'F3 - Relevé du personnel'!$C$4:$C$281,'F0 - Données générales'!$K$31,'F3 - Relevé du personnel'!$B$4:$B$281,7)</f>
        <v>0</v>
      </c>
      <c r="AA14" s="256">
        <f>SUMIFS('F3 - Relevé du personnel'!$I$4:$I$281,'F3 - Relevé du personnel'!$D$4:$D$281,$V14,'F3 - Relevé du personnel'!$C$4:$C$281,'F0 - Données générales'!$K$31,'F3 - Relevé du personnel'!$B$4:$B$281,7)</f>
        <v>0</v>
      </c>
      <c r="AB14" s="256">
        <f>SUMIFS('F3 - Relevé du personnel'!$M$4:$M$281,'F3 - Relevé du personnel'!$D$4:$D$281,$V14,'F3 - Relevé du personnel'!$C$4:$C$281,'F0 - Données générales'!$K$31,'F3 - Relevé du personnel'!$B$4:$B$281,7)</f>
        <v>0</v>
      </c>
      <c r="AC14" s="196">
        <f t="shared" si="1"/>
        <v>0</v>
      </c>
      <c r="AD14" s="256">
        <f>SUMIFS('F3 - Relevé du personnel'!$O$4:$O$281,'F3 - Relevé du personnel'!$D$4:$D$281,$V14,'F3 - Relevé du personnel'!$C$4:$C$281,'F0 - Données générales'!$K$31,'F3 - Relevé du personnel'!$B$4:$B$281,7)</f>
        <v>0</v>
      </c>
      <c r="AE14" s="256">
        <f>SUMIFS('F3 - Relevé du personnel'!$P$4:$P$281,'F3 - Relevé du personnel'!$D$4:$D$281,$V14,'F3 - Relevé du personnel'!$C$4:$C$281,'F0 - Données générales'!$K$31,'F3 - Relevé du personnel'!$B$4:$B$281,7)</f>
        <v>0</v>
      </c>
      <c r="AF14" s="256">
        <f>SUMIFS('F3 - Relevé du personnel'!$Q$4:$Q$281,'F3 - Relevé du personnel'!$D$4:$D$281,$V14,'F3 - Relevé du personnel'!$C$4:$C$281,'F0 - Données générales'!$K$31,'F3 - Relevé du personnel'!$B$4:$B$281,7)</f>
        <v>0</v>
      </c>
      <c r="AG14" s="182">
        <f t="shared" si="2"/>
        <v>0</v>
      </c>
      <c r="AH14" s="197" t="str">
        <f t="shared" si="8"/>
        <v/>
      </c>
      <c r="AI14" s="198" t="str">
        <f>IF(Y14=0,"",(SUMPRODUCT(($D$4:$D$253=V14)*($C$4:$C$253='F0 - Données générales'!$K$31)*($E$4:$E$253)*($F$4:$F$253)*($B$4:$B$253=7))+SUMPRODUCT(($D$257:$D$281=V14)*($C$257:$C$281='F0 - Données générales'!$K$31)*($B$257:$B$281=7)*($E$257:$E$281)*($F$257:$F$281)))/(SUMIFS('F3 - Relevé du personnel'!$E$4:$E$281,'F3 - Relevé du personnel'!$D$4:$D$281,$V14,'F3 - Relevé du personnel'!$C$4:$C$281,'F0 - Données générales'!$K$31,'F3 - Relevé du personnel'!$B$4:$B$281,7)))</f>
        <v/>
      </c>
      <c r="AJ14" s="120"/>
      <c r="AK14" s="742" t="s">
        <v>61</v>
      </c>
      <c r="AL14" s="742"/>
      <c r="AM14" s="26" t="s">
        <v>80</v>
      </c>
      <c r="AN14" s="741" t="s">
        <v>81</v>
      </c>
      <c r="AO14" s="741"/>
      <c r="AP14" s="181">
        <f>SUMIFS('F3 - Relevé du personnel'!$E$4:$E$281,'F3 - Relevé du personnel'!$D$4:$D$281,$AM14,'F3 - Relevé du personnel'!$C$4:$C$281,'F0 - Données générales'!$K$31,'F3 - Relevé du personnel'!$B$4:$B$281,"base-ortho")</f>
        <v>0</v>
      </c>
      <c r="AQ14" s="181">
        <f>SUMIFS('F3 - Relevé du personnel'!$H$4:$H$281,'F3 - Relevé du personnel'!$D$4:$D$281,$AM14,'F3 - Relevé du personnel'!$C$4:$C$281,'F0 - Données générales'!$K$31,'F3 - Relevé du personnel'!$B$4:$B$281,"base-ortho")</f>
        <v>0</v>
      </c>
      <c r="AR14" s="256">
        <f>SUMIFS('F3 - Relevé du personnel'!$I$4:$I$281,'F3 - Relevé du personnel'!$D$4:$D$281,$AM14,'F3 - Relevé du personnel'!$C$4:$C$281,'F0 - Données générales'!$K$31,'F3 - Relevé du personnel'!$B$4:$B$281,"base-ortho")</f>
        <v>0</v>
      </c>
      <c r="AS14" s="256">
        <f>SUMIFS('F3 - Relevé du personnel'!$M$4:$M$281,'F3 - Relevé du personnel'!$D$4:$D$281,$AM14,'F3 - Relevé du personnel'!$C$4:$C$281,'F0 - Données générales'!$K$31,'F3 - Relevé du personnel'!$B$4:$B$281,"base-ortho")</f>
        <v>0</v>
      </c>
      <c r="AT14" s="196">
        <f t="shared" ref="AT14:AT19" si="19">(AR14+AS14)</f>
        <v>0</v>
      </c>
      <c r="AU14" s="256">
        <f>SUMIFS('F3 - Relevé du personnel'!$O$4:$O$281,'F3 - Relevé du personnel'!$D$4:$D$281,$AM14,'F3 - Relevé du personnel'!$C$4:$C$281,'F0 - Données générales'!$K$31,'F3 - Relevé du personnel'!$B$4:$B$281,"base-ortho")</f>
        <v>0</v>
      </c>
      <c r="AV14" s="256">
        <f>SUMIFS('F3 - Relevé du personnel'!$P$4:$P$281,'F3 - Relevé du personnel'!$D$4:$D$281,$AM14,'F3 - Relevé du personnel'!$C$4:$C$281,'F0 - Données générales'!$K$31,'F3 - Relevé du personnel'!$B$4:$B$281,"base-ortho")</f>
        <v>0</v>
      </c>
      <c r="AW14" s="256">
        <f>SUMIFS('F3 - Relevé du personnel'!$Q$4:$Q$281,'F3 - Relevé du personnel'!$D$4:$D$281,$AM14,'F3 - Relevé du personnel'!$C$4:$C$281,'F0 - Données générales'!$K$31,'F3 - Relevé du personnel'!$B$4:$B$281,"base-ortho")</f>
        <v>0</v>
      </c>
      <c r="AX14" s="182">
        <f t="shared" ref="AX14:AX19" si="20">AR14+AS14-SUM(AU14:AW14)</f>
        <v>0</v>
      </c>
      <c r="AY14" s="197" t="str">
        <f t="shared" si="17"/>
        <v/>
      </c>
      <c r="AZ14" s="198" t="str">
        <f>IF(AP14=0,"",(SUMPRODUCT(($D$4:$D$253=AM14)*($C$4:$C$253='F0 - Données générales'!$K$31)*($E$4:$E$253)*($F$4:$F$253)*($B$4:$B$253="base-ortho"))+SUMPRODUCT(($D$257:$D$281=AM14)*($C$257:$C$281='F0 - Données générales'!$K$31)*($B$257:$B$281="base-ortho")*($E$257:$E$281)*($F$257:$F$281)))/(SUMIFS('F3 - Relevé du personnel'!$E$4:$E$281,'F3 - Relevé du personnel'!$D$4:$D$281,$AM14,'F3 - Relevé du personnel'!$C$4:$C$281,'F0 - Données générales'!$K$31,'F3 - Relevé du personnel'!$B$4:$B$281,"base-ortho")))</f>
        <v/>
      </c>
      <c r="BA14" s="120"/>
      <c r="BB14" s="796" t="s">
        <v>61</v>
      </c>
      <c r="BC14" s="797"/>
      <c r="BD14" s="26" t="s">
        <v>80</v>
      </c>
      <c r="BE14" s="801" t="s">
        <v>81</v>
      </c>
      <c r="BF14" s="802"/>
      <c r="BG14" s="181">
        <f>SUMIFS('F3 - Relevé du personnel'!$E$4:$E$281,'F3 - Relevé du personnel'!$D$4:$D$281,$BD14,'F3 - Relevé du personnel'!$C$4:$C$281,'F0 - Données générales'!$K$31)</f>
        <v>0</v>
      </c>
      <c r="BH14" s="181">
        <f>SUMIFS('F3 - Relevé du personnel'!$H$4:$H$281,'F3 - Relevé du personnel'!$D$4:$D$281,$BD14,'F3 - Relevé du personnel'!$C$4:$C$281,'F0 - Données générales'!$K$31)</f>
        <v>0</v>
      </c>
      <c r="BI14" s="256">
        <f>SUMIFS('F3 - Relevé du personnel'!$I$4:$I$281,'F3 - Relevé du personnel'!$D$4:$D$281,$BD14,'F3 - Relevé du personnel'!$C$4:$C$281,'F0 - Données générales'!$K$31)</f>
        <v>0</v>
      </c>
      <c r="BJ14" s="256">
        <f>SUMIFS('F3 - Relevé du personnel'!$M$4:$M$281,'F3 - Relevé du personnel'!$D$4:$D$281,$BD14,'F3 - Relevé du personnel'!$C$4:$C$281,'F0 - Données générales'!$K$31)</f>
        <v>0</v>
      </c>
      <c r="BK14" s="196">
        <f t="shared" si="3"/>
        <v>0</v>
      </c>
      <c r="BL14" s="256">
        <f>SUMIFS('F3 - Relevé du personnel'!$O$4:$O$281,'F3 - Relevé du personnel'!$D$4:$D$281,$BD14,'F3 - Relevé du personnel'!$C$4:$C$281,'F0 - Données générales'!$K$31)</f>
        <v>0</v>
      </c>
      <c r="BM14" s="256">
        <f>SUMIFS('F3 - Relevé du personnel'!$P$4:$P$281,'F3 - Relevé du personnel'!$D$4:$D$281,$BD14,'F3 - Relevé du personnel'!$C$4:$C$281,'F0 - Données générales'!$K$31)</f>
        <v>0</v>
      </c>
      <c r="BN14" s="256">
        <f>SUMIFS('F3 - Relevé du personnel'!$Q$4:$Q$281,'F3 - Relevé du personnel'!$D$4:$D$281,$BD14,'F3 - Relevé du personnel'!$C$4:$C$281,'F0 - Données générales'!$K$31)</f>
        <v>0</v>
      </c>
      <c r="BO14" s="182">
        <f t="shared" si="4"/>
        <v>0</v>
      </c>
      <c r="BP14" s="197" t="str">
        <f t="shared" si="12"/>
        <v/>
      </c>
      <c r="BQ14" s="198" t="str">
        <f>IF(BG14=0,"",(SUMPRODUCT(($D$4:$D$253=BD14)*($C$4:$C$253='F0 - Données générales'!$K$31)*($E$4:$E$253)*($F$4:$F$253))+SUMPRODUCT(($D$257:$D$281=BD14)*($C$257:$C$281='F0 - Données générales'!$K$31)*($E$257:$E$281)*($F$257:$F$281)))/(SUMIFS('F3 - Relevé du personnel'!$E$4:$E$281,'F3 - Relevé du personnel'!$D$4:$D$281,$BD14,'F3 - Relevé du personnel'!$C$4:$C$281,'F0 - Données générales'!$K$31)))</f>
        <v/>
      </c>
      <c r="BR14" s="40"/>
    </row>
    <row r="15" spans="1:79" x14ac:dyDescent="0.3">
      <c r="A15" s="106">
        <v>12</v>
      </c>
      <c r="B15" s="324">
        <f>'F0 - Données générales'!$C$4</f>
        <v>7</v>
      </c>
      <c r="C15" s="106" t="s">
        <v>95</v>
      </c>
      <c r="D15" s="106"/>
      <c r="E15" s="107"/>
      <c r="F15" s="108"/>
      <c r="G15" s="109"/>
      <c r="H15" s="110">
        <f t="shared" si="5"/>
        <v>0</v>
      </c>
      <c r="I15" s="177"/>
      <c r="J15" s="118" t="str">
        <f>IF(OR(D15="",F15=""),"",(((HLOOKUP(D15,'Carrières et points'!$A$20:$AD$60,F15+2,FALSE)*'Carrières et points'!$C$7*'Carrières et points'!$C$9)+(HLOOKUP(D15,'Carrières et points'!$A$20:$AD$60,F15+2,FALSE)*'Carrières et points'!$C$13*'Carrières et points'!$C$15))*(1+'F0 - Données générales'!$I$4)+((HLOOKUP(D15,'Carrières et points'!$A$20:$AD$60,F15+2,FALSE)*'Carrières et points'!$C$7*'Carrières et points'!$C$9)+(HLOOKUP(D15,'Carrières et points'!$A$20:$AD$60,F15+2,FALSE)*'Carrières et points'!$C$13*'Carrières et points'!$C$15))/12*(1+'F0 - Données générales'!$L$13))*E15)</f>
        <v/>
      </c>
      <c r="K15" s="118" t="str">
        <f t="shared" si="6"/>
        <v/>
      </c>
      <c r="L15" s="109"/>
      <c r="M15" s="177"/>
      <c r="N15" s="118" t="str">
        <f t="shared" si="0"/>
        <v/>
      </c>
      <c r="O15" s="177"/>
      <c r="P15" s="177"/>
      <c r="Q15" s="177"/>
      <c r="R15" s="255" t="str">
        <f t="shared" si="7"/>
        <v/>
      </c>
      <c r="S15" s="120"/>
      <c r="T15" s="742" t="s">
        <v>64</v>
      </c>
      <c r="U15" s="742"/>
      <c r="V15" s="26" t="s">
        <v>82</v>
      </c>
      <c r="W15" s="741" t="s">
        <v>83</v>
      </c>
      <c r="X15" s="741"/>
      <c r="Y15" s="181">
        <f>SUMIFS('F3 - Relevé du personnel'!$E$4:$E$281,'F3 - Relevé du personnel'!$D$4:$D$281,$V15,'F3 - Relevé du personnel'!$C$4:$C$281,'F0 - Données générales'!$K$31,'F3 - Relevé du personnel'!$B$4:$B$281,7)</f>
        <v>0</v>
      </c>
      <c r="Z15" s="181">
        <f>SUMIFS('F3 - Relevé du personnel'!$H$4:$H$281,'F3 - Relevé du personnel'!$D$4:$D$281,$V15,'F3 - Relevé du personnel'!$C$4:$C$281,'F0 - Données générales'!$K$31,'F3 - Relevé du personnel'!$B$4:$B$281,7)</f>
        <v>0</v>
      </c>
      <c r="AA15" s="256">
        <f>SUMIFS('F3 - Relevé du personnel'!$I$4:$I$281,'F3 - Relevé du personnel'!$D$4:$D$281,$V15,'F3 - Relevé du personnel'!$C$4:$C$281,'F0 - Données générales'!$K$31,'F3 - Relevé du personnel'!$B$4:$B$281,7)</f>
        <v>0</v>
      </c>
      <c r="AB15" s="256">
        <f>SUMIFS('F3 - Relevé du personnel'!$M$4:$M$281,'F3 - Relevé du personnel'!$D$4:$D$281,$V15,'F3 - Relevé du personnel'!$C$4:$C$281,'F0 - Données générales'!$K$31,'F3 - Relevé du personnel'!$B$4:$B$281,7)</f>
        <v>0</v>
      </c>
      <c r="AC15" s="196">
        <f t="shared" si="1"/>
        <v>0</v>
      </c>
      <c r="AD15" s="256">
        <f>SUMIFS('F3 - Relevé du personnel'!$O$4:$O$281,'F3 - Relevé du personnel'!$D$4:$D$281,$V15,'F3 - Relevé du personnel'!$C$4:$C$281,'F0 - Données générales'!$K$31,'F3 - Relevé du personnel'!$B$4:$B$281,7)</f>
        <v>0</v>
      </c>
      <c r="AE15" s="256">
        <f>SUMIFS('F3 - Relevé du personnel'!$P$4:$P$281,'F3 - Relevé du personnel'!$D$4:$D$281,$V15,'F3 - Relevé du personnel'!$C$4:$C$281,'F0 - Données générales'!$K$31,'F3 - Relevé du personnel'!$B$4:$B$281,7)</f>
        <v>0</v>
      </c>
      <c r="AF15" s="256">
        <f>SUMIFS('F3 - Relevé du personnel'!$Q$4:$Q$281,'F3 - Relevé du personnel'!$D$4:$D$281,$V15,'F3 - Relevé du personnel'!$C$4:$C$281,'F0 - Données générales'!$K$31,'F3 - Relevé du personnel'!$B$4:$B$281,7)</f>
        <v>0</v>
      </c>
      <c r="AG15" s="182">
        <f t="shared" si="2"/>
        <v>0</v>
      </c>
      <c r="AH15" s="197" t="str">
        <f t="shared" si="8"/>
        <v/>
      </c>
      <c r="AI15" s="198" t="str">
        <f>IF(Y15=0,"",(SUMPRODUCT(($D$4:$D$253=V15)*($C$4:$C$253='F0 - Données générales'!$K$31)*($E$4:$E$253)*($F$4:$F$253)*($B$4:$B$253=7))+SUMPRODUCT(($D$257:$D$281=V15)*($C$257:$C$281='F0 - Données générales'!$K$31)*($B$257:$B$281=7)*($E$257:$E$281)*($F$257:$F$281)))/(SUMIFS('F3 - Relevé du personnel'!$E$4:$E$281,'F3 - Relevé du personnel'!$D$4:$D$281,$V15,'F3 - Relevé du personnel'!$C$4:$C$281,'F0 - Données générales'!$K$31,'F3 - Relevé du personnel'!$B$4:$B$281,7)))</f>
        <v/>
      </c>
      <c r="AJ15" s="120"/>
      <c r="AK15" s="742" t="s">
        <v>64</v>
      </c>
      <c r="AL15" s="742"/>
      <c r="AM15" s="26" t="s">
        <v>82</v>
      </c>
      <c r="AN15" s="741" t="s">
        <v>83</v>
      </c>
      <c r="AO15" s="741"/>
      <c r="AP15" s="181">
        <f>SUMIFS('F3 - Relevé du personnel'!$E$4:$E$281,'F3 - Relevé du personnel'!$D$4:$D$281,$AM15,'F3 - Relevé du personnel'!$C$4:$C$281,'F0 - Données générales'!$K$31,'F3 - Relevé du personnel'!$B$4:$B$281,"base-ortho")</f>
        <v>0</v>
      </c>
      <c r="AQ15" s="181">
        <f>SUMIFS('F3 - Relevé du personnel'!$H$4:$H$281,'F3 - Relevé du personnel'!$D$4:$D$281,$AM15,'F3 - Relevé du personnel'!$C$4:$C$281,'F0 - Données générales'!$K$31,'F3 - Relevé du personnel'!$B$4:$B$281,"base-ortho")</f>
        <v>0</v>
      </c>
      <c r="AR15" s="256">
        <f>SUMIFS('F3 - Relevé du personnel'!$I$4:$I$281,'F3 - Relevé du personnel'!$D$4:$D$281,$AM15,'F3 - Relevé du personnel'!$C$4:$C$281,'F0 - Données générales'!$K$31,'F3 - Relevé du personnel'!$B$4:$B$281,"base-ortho")</f>
        <v>0</v>
      </c>
      <c r="AS15" s="256">
        <f>SUMIFS('F3 - Relevé du personnel'!$M$4:$M$281,'F3 - Relevé du personnel'!$D$4:$D$281,$AM15,'F3 - Relevé du personnel'!$C$4:$C$281,'F0 - Données générales'!$K$31,'F3 - Relevé du personnel'!$B$4:$B$281,"base-ortho")</f>
        <v>0</v>
      </c>
      <c r="AT15" s="196">
        <f t="shared" si="19"/>
        <v>0</v>
      </c>
      <c r="AU15" s="256">
        <f>SUMIFS('F3 - Relevé du personnel'!$O$4:$O$281,'F3 - Relevé du personnel'!$D$4:$D$281,$AM15,'F3 - Relevé du personnel'!$C$4:$C$281,'F0 - Données générales'!$K$31,'F3 - Relevé du personnel'!$B$4:$B$281,"base-ortho")</f>
        <v>0</v>
      </c>
      <c r="AV15" s="256">
        <f>SUMIFS('F3 - Relevé du personnel'!$P$4:$P$281,'F3 - Relevé du personnel'!$D$4:$D$281,$AM15,'F3 - Relevé du personnel'!$C$4:$C$281,'F0 - Données générales'!$K$31,'F3 - Relevé du personnel'!$B$4:$B$281,"base-ortho")</f>
        <v>0</v>
      </c>
      <c r="AW15" s="256">
        <f>SUMIFS('F3 - Relevé du personnel'!$Q$4:$Q$281,'F3 - Relevé du personnel'!$D$4:$D$281,$AM15,'F3 - Relevé du personnel'!$C$4:$C$281,'F0 - Données générales'!$K$31,'F3 - Relevé du personnel'!$B$4:$B$281,"base-ortho")</f>
        <v>0</v>
      </c>
      <c r="AX15" s="182">
        <f t="shared" si="20"/>
        <v>0</v>
      </c>
      <c r="AY15" s="197" t="str">
        <f t="shared" si="17"/>
        <v/>
      </c>
      <c r="AZ15" s="198" t="str">
        <f>IF(AP15=0,"",(SUMPRODUCT(($D$4:$D$253=AM15)*($C$4:$C$253='F0 - Données générales'!$K$31)*($E$4:$E$253)*($F$4:$F$253)*($B$4:$B$253="base-ortho"))+SUMPRODUCT(($D$257:$D$281=AM15)*($C$257:$C$281='F0 - Données générales'!$K$31)*($B$257:$B$281="base-ortho")*($E$257:$E$281)*($F$257:$F$281)))/(SUMIFS('F3 - Relevé du personnel'!$E$4:$E$281,'F3 - Relevé du personnel'!$D$4:$D$281,$AM15,'F3 - Relevé du personnel'!$C$4:$C$281,'F0 - Données générales'!$K$31,'F3 - Relevé du personnel'!$B$4:$B$281,"base-ortho")))</f>
        <v/>
      </c>
      <c r="BA15" s="120"/>
      <c r="BB15" s="796" t="s">
        <v>64</v>
      </c>
      <c r="BC15" s="797"/>
      <c r="BD15" s="26" t="s">
        <v>82</v>
      </c>
      <c r="BE15" s="801" t="s">
        <v>83</v>
      </c>
      <c r="BF15" s="802"/>
      <c r="BG15" s="181">
        <f>SUMIFS('F3 - Relevé du personnel'!$E$4:$E$281,'F3 - Relevé du personnel'!$D$4:$D$281,$BD15,'F3 - Relevé du personnel'!$C$4:$C$281,'F0 - Données générales'!$K$31)</f>
        <v>0</v>
      </c>
      <c r="BH15" s="181">
        <f>SUMIFS('F3 - Relevé du personnel'!$H$4:$H$281,'F3 - Relevé du personnel'!$D$4:$D$281,$BD15,'F3 - Relevé du personnel'!$C$4:$C$281,'F0 - Données générales'!$K$31)</f>
        <v>0</v>
      </c>
      <c r="BI15" s="256">
        <f>SUMIFS('F3 - Relevé du personnel'!$I$4:$I$281,'F3 - Relevé du personnel'!$D$4:$D$281,$BD15,'F3 - Relevé du personnel'!$C$4:$C$281,'F0 - Données générales'!$K$31)</f>
        <v>0</v>
      </c>
      <c r="BJ15" s="256">
        <f>SUMIFS('F3 - Relevé du personnel'!$M$4:$M$281,'F3 - Relevé du personnel'!$D$4:$D$281,$BD15,'F3 - Relevé du personnel'!$C$4:$C$281,'F0 - Données générales'!$K$31)</f>
        <v>0</v>
      </c>
      <c r="BK15" s="196">
        <f t="shared" si="3"/>
        <v>0</v>
      </c>
      <c r="BL15" s="256">
        <f>SUMIFS('F3 - Relevé du personnel'!$O$4:$O$281,'F3 - Relevé du personnel'!$D$4:$D$281,$BD15,'F3 - Relevé du personnel'!$C$4:$C$281,'F0 - Données générales'!$K$31)</f>
        <v>0</v>
      </c>
      <c r="BM15" s="256">
        <f>SUMIFS('F3 - Relevé du personnel'!$P$4:$P$281,'F3 - Relevé du personnel'!$D$4:$D$281,$BD15,'F3 - Relevé du personnel'!$C$4:$C$281,'F0 - Données générales'!$K$31)</f>
        <v>0</v>
      </c>
      <c r="BN15" s="256">
        <f>SUMIFS('F3 - Relevé du personnel'!$Q$4:$Q$281,'F3 - Relevé du personnel'!$D$4:$D$281,$BD15,'F3 - Relevé du personnel'!$C$4:$C$281,'F0 - Données générales'!$K$31)</f>
        <v>0</v>
      </c>
      <c r="BO15" s="182">
        <f t="shared" si="4"/>
        <v>0</v>
      </c>
      <c r="BP15" s="197" t="str">
        <f t="shared" si="12"/>
        <v/>
      </c>
      <c r="BQ15" s="198" t="str">
        <f>IF(BG15=0,"",(SUMPRODUCT(($D$4:$D$253=BD15)*($C$4:$C$253='F0 - Données générales'!$K$31)*($E$4:$E$253)*($F$4:$F$253))+SUMPRODUCT(($D$257:$D$281=BD15)*($C$257:$C$281='F0 - Données générales'!$K$31)*($E$257:$E$281)*($F$257:$F$281)))/(SUMIFS('F3 - Relevé du personnel'!$E$4:$E$281,'F3 - Relevé du personnel'!$D$4:$D$281,$BD15,'F3 - Relevé du personnel'!$C$4:$C$281,'F0 - Données générales'!$K$31)))</f>
        <v/>
      </c>
      <c r="BR15" s="40"/>
    </row>
    <row r="16" spans="1:79" ht="15" customHeight="1" x14ac:dyDescent="0.35">
      <c r="A16" s="106">
        <v>13</v>
      </c>
      <c r="B16" s="324">
        <f>'F0 - Données générales'!$C$4</f>
        <v>7</v>
      </c>
      <c r="C16" s="106" t="s">
        <v>95</v>
      </c>
      <c r="D16" s="106"/>
      <c r="E16" s="107"/>
      <c r="F16" s="108"/>
      <c r="G16" s="109"/>
      <c r="H16" s="110">
        <f t="shared" si="5"/>
        <v>0</v>
      </c>
      <c r="I16" s="177"/>
      <c r="J16" s="118" t="str">
        <f>IF(OR(D16="",F16=""),"",(((HLOOKUP(D16,'Carrières et points'!$A$20:$AD$60,F16+2,FALSE)*'Carrières et points'!$C$7*'Carrières et points'!$C$9)+(HLOOKUP(D16,'Carrières et points'!$A$20:$AD$60,F16+2,FALSE)*'Carrières et points'!$C$13*'Carrières et points'!$C$15))*(1+'F0 - Données générales'!$I$4)+((HLOOKUP(D16,'Carrières et points'!$A$20:$AD$60,F16+2,FALSE)*'Carrières et points'!$C$7*'Carrières et points'!$C$9)+(HLOOKUP(D16,'Carrières et points'!$A$20:$AD$60,F16+2,FALSE)*'Carrières et points'!$C$13*'Carrières et points'!$C$15))/12*(1+'F0 - Données générales'!$L$13))*E16)</f>
        <v/>
      </c>
      <c r="K16" s="118" t="str">
        <f t="shared" si="6"/>
        <v/>
      </c>
      <c r="L16" s="109"/>
      <c r="M16" s="177"/>
      <c r="N16" s="118" t="str">
        <f t="shared" si="0"/>
        <v/>
      </c>
      <c r="O16" s="177"/>
      <c r="P16" s="177"/>
      <c r="Q16" s="177"/>
      <c r="R16" s="255" t="str">
        <f t="shared" si="7"/>
        <v/>
      </c>
      <c r="S16" s="120"/>
      <c r="T16" s="742" t="s">
        <v>65</v>
      </c>
      <c r="U16" s="742"/>
      <c r="V16" s="26" t="s">
        <v>84</v>
      </c>
      <c r="W16" s="741" t="s">
        <v>85</v>
      </c>
      <c r="X16" s="741"/>
      <c r="Y16" s="181">
        <f>SUMIFS('F3 - Relevé du personnel'!$E$4:$E$281,'F3 - Relevé du personnel'!$D$4:$D$281,$V16,'F3 - Relevé du personnel'!$C$4:$C$281,'F0 - Données générales'!$K$31,'F3 - Relevé du personnel'!$B$4:$B$281,7)</f>
        <v>0</v>
      </c>
      <c r="Z16" s="181">
        <f>SUMIFS('F3 - Relevé du personnel'!$H$4:$H$281,'F3 - Relevé du personnel'!$D$4:$D$281,$V16,'F3 - Relevé du personnel'!$C$4:$C$281,'F0 - Données générales'!$K$31,'F3 - Relevé du personnel'!$B$4:$B$281,7)</f>
        <v>0</v>
      </c>
      <c r="AA16" s="256">
        <f>SUMIFS('F3 - Relevé du personnel'!$I$4:$I$281,'F3 - Relevé du personnel'!$D$4:$D$281,$V16,'F3 - Relevé du personnel'!$C$4:$C$281,'F0 - Données générales'!$K$31,'F3 - Relevé du personnel'!$B$4:$B$281,7)</f>
        <v>0</v>
      </c>
      <c r="AB16" s="256">
        <f>SUMIFS('F3 - Relevé du personnel'!$M$4:$M$281,'F3 - Relevé du personnel'!$D$4:$D$281,$V16,'F3 - Relevé du personnel'!$C$4:$C$281,'F0 - Données générales'!$K$31,'F3 - Relevé du personnel'!$B$4:$B$281,7)</f>
        <v>0</v>
      </c>
      <c r="AC16" s="196">
        <f t="shared" si="1"/>
        <v>0</v>
      </c>
      <c r="AD16" s="256">
        <f>SUMIFS('F3 - Relevé du personnel'!$O$4:$O$281,'F3 - Relevé du personnel'!$D$4:$D$281,$V16,'F3 - Relevé du personnel'!$C$4:$C$281,'F0 - Données générales'!$K$31,'F3 - Relevé du personnel'!$B$4:$B$281,7)</f>
        <v>0</v>
      </c>
      <c r="AE16" s="256">
        <f>SUMIFS('F3 - Relevé du personnel'!$P$4:$P$281,'F3 - Relevé du personnel'!$D$4:$D$281,$V16,'F3 - Relevé du personnel'!$C$4:$C$281,'F0 - Données générales'!$K$31,'F3 - Relevé du personnel'!$B$4:$B$281,7)</f>
        <v>0</v>
      </c>
      <c r="AF16" s="256">
        <f>SUMIFS('F3 - Relevé du personnel'!$Q$4:$Q$281,'F3 - Relevé du personnel'!$D$4:$D$281,$V16,'F3 - Relevé du personnel'!$C$4:$C$281,'F0 - Données générales'!$K$31,'F3 - Relevé du personnel'!$B$4:$B$281,7)</f>
        <v>0</v>
      </c>
      <c r="AG16" s="182">
        <f t="shared" si="2"/>
        <v>0</v>
      </c>
      <c r="AH16" s="197" t="str">
        <f t="shared" si="8"/>
        <v/>
      </c>
      <c r="AI16" s="198" t="str">
        <f>IF(Y16=0,"",(SUMPRODUCT(($D$4:$D$253=V16)*($C$4:$C$253='F0 - Données générales'!$K$31)*($E$4:$E$253)*($F$4:$F$253)*($B$4:$B$253=7))+SUMPRODUCT(($D$257:$D$281=V16)*($C$257:$C$281='F0 - Données générales'!$K$31)*($B$257:$B$281=7)*($E$257:$E$281)*($F$257:$F$281)))/(SUMIFS('F3 - Relevé du personnel'!$E$4:$E$281,'F3 - Relevé du personnel'!$D$4:$D$281,$V16,'F3 - Relevé du personnel'!$C$4:$C$281,'F0 - Données générales'!$K$31,'F3 - Relevé du personnel'!$B$4:$B$281,7)))</f>
        <v/>
      </c>
      <c r="AJ16" s="120"/>
      <c r="AK16" s="742" t="s">
        <v>65</v>
      </c>
      <c r="AL16" s="742"/>
      <c r="AM16" s="26" t="s">
        <v>84</v>
      </c>
      <c r="AN16" s="741" t="s">
        <v>85</v>
      </c>
      <c r="AO16" s="741"/>
      <c r="AP16" s="181">
        <f>SUMIFS('F3 - Relevé du personnel'!$E$4:$E$281,'F3 - Relevé du personnel'!$D$4:$D$281,$AM16,'F3 - Relevé du personnel'!$C$4:$C$281,'F0 - Données générales'!$K$31,'F3 - Relevé du personnel'!$B$4:$B$281,"base-ortho")</f>
        <v>0</v>
      </c>
      <c r="AQ16" s="181">
        <f>SUMIFS('F3 - Relevé du personnel'!$H$4:$H$281,'F3 - Relevé du personnel'!$D$4:$D$281,$AM16,'F3 - Relevé du personnel'!$C$4:$C$281,'F0 - Données générales'!$K$31,'F3 - Relevé du personnel'!$B$4:$B$281,"base-ortho")</f>
        <v>0</v>
      </c>
      <c r="AR16" s="256">
        <f>SUMIFS('F3 - Relevé du personnel'!$I$4:$I$281,'F3 - Relevé du personnel'!$D$4:$D$281,$AM16,'F3 - Relevé du personnel'!$C$4:$C$281,'F0 - Données générales'!$K$31,'F3 - Relevé du personnel'!$B$4:$B$281,"base-ortho")</f>
        <v>0</v>
      </c>
      <c r="AS16" s="256">
        <f>SUMIFS('F3 - Relevé du personnel'!$M$4:$M$281,'F3 - Relevé du personnel'!$D$4:$D$281,$AM16,'F3 - Relevé du personnel'!$C$4:$C$281,'F0 - Données générales'!$K$31,'F3 - Relevé du personnel'!$B$4:$B$281,"base-ortho")</f>
        <v>0</v>
      </c>
      <c r="AT16" s="196">
        <f t="shared" si="19"/>
        <v>0</v>
      </c>
      <c r="AU16" s="256">
        <f>SUMIFS('F3 - Relevé du personnel'!$O$4:$O$281,'F3 - Relevé du personnel'!$D$4:$D$281,$AM16,'F3 - Relevé du personnel'!$C$4:$C$281,'F0 - Données générales'!$K$31,'F3 - Relevé du personnel'!$B$4:$B$281,"base-ortho")</f>
        <v>0</v>
      </c>
      <c r="AV16" s="256">
        <f>SUMIFS('F3 - Relevé du personnel'!$P$4:$P$281,'F3 - Relevé du personnel'!$D$4:$D$281,$AM16,'F3 - Relevé du personnel'!$C$4:$C$281,'F0 - Données générales'!$K$31,'F3 - Relevé du personnel'!$B$4:$B$281,"base-ortho")</f>
        <v>0</v>
      </c>
      <c r="AW16" s="256">
        <f>SUMIFS('F3 - Relevé du personnel'!$Q$4:$Q$281,'F3 - Relevé du personnel'!$D$4:$D$281,$AM16,'F3 - Relevé du personnel'!$C$4:$C$281,'F0 - Données générales'!$K$31,'F3 - Relevé du personnel'!$B$4:$B$281,"base-ortho")</f>
        <v>0</v>
      </c>
      <c r="AX16" s="182">
        <f t="shared" si="20"/>
        <v>0</v>
      </c>
      <c r="AY16" s="197" t="str">
        <f t="shared" si="17"/>
        <v/>
      </c>
      <c r="AZ16" s="198" t="str">
        <f>IF(AP16=0,"",(SUMPRODUCT(($D$4:$D$253=AM16)*($C$4:$C$253='F0 - Données générales'!$K$31)*($E$4:$E$253)*($F$4:$F$253)*($B$4:$B$253="base-ortho"))+SUMPRODUCT(($D$257:$D$281=AM16)*($C$257:$C$281='F0 - Données générales'!$K$31)*($B$257:$B$281="base-ortho")*($E$257:$E$281)*($F$257:$F$281)))/(SUMIFS('F3 - Relevé du personnel'!$E$4:$E$281,'F3 - Relevé du personnel'!$D$4:$D$281,$AM16,'F3 - Relevé du personnel'!$C$4:$C$281,'F0 - Données générales'!$K$31,'F3 - Relevé du personnel'!$B$4:$B$281,"base-ortho")))</f>
        <v/>
      </c>
      <c r="BA16" s="120"/>
      <c r="BB16" s="796" t="s">
        <v>65</v>
      </c>
      <c r="BC16" s="797"/>
      <c r="BD16" s="26" t="s">
        <v>84</v>
      </c>
      <c r="BE16" s="801" t="s">
        <v>85</v>
      </c>
      <c r="BF16" s="802"/>
      <c r="BG16" s="181">
        <f>SUMIFS('F3 - Relevé du personnel'!$E$4:$E$281,'F3 - Relevé du personnel'!$D$4:$D$281,$BD16,'F3 - Relevé du personnel'!$C$4:$C$281,'F0 - Données générales'!$K$31)</f>
        <v>0</v>
      </c>
      <c r="BH16" s="181">
        <f>SUMIFS('F3 - Relevé du personnel'!$H$4:$H$281,'F3 - Relevé du personnel'!$D$4:$D$281,$BD16,'F3 - Relevé du personnel'!$C$4:$C$281,'F0 - Données générales'!$K$31)</f>
        <v>0</v>
      </c>
      <c r="BI16" s="256">
        <f>SUMIFS('F3 - Relevé du personnel'!$I$4:$I$281,'F3 - Relevé du personnel'!$D$4:$D$281,$BD16,'F3 - Relevé du personnel'!$C$4:$C$281,'F0 - Données générales'!$K$31)</f>
        <v>0</v>
      </c>
      <c r="BJ16" s="256">
        <f>SUMIFS('F3 - Relevé du personnel'!$M$4:$M$281,'F3 - Relevé du personnel'!$D$4:$D$281,$BD16,'F3 - Relevé du personnel'!$C$4:$C$281,'F0 - Données générales'!$K$31)</f>
        <v>0</v>
      </c>
      <c r="BK16" s="196">
        <f t="shared" si="3"/>
        <v>0</v>
      </c>
      <c r="BL16" s="256">
        <f>SUMIFS('F3 - Relevé du personnel'!$O$4:$O$281,'F3 - Relevé du personnel'!$D$4:$D$281,$BD16,'F3 - Relevé du personnel'!$C$4:$C$281,'F0 - Données générales'!$K$31)</f>
        <v>0</v>
      </c>
      <c r="BM16" s="256">
        <f>SUMIFS('F3 - Relevé du personnel'!$P$4:$P$281,'F3 - Relevé du personnel'!$D$4:$D$281,$BD16,'F3 - Relevé du personnel'!$C$4:$C$281,'F0 - Données générales'!$K$31)</f>
        <v>0</v>
      </c>
      <c r="BN16" s="256">
        <f>SUMIFS('F3 - Relevé du personnel'!$Q$4:$Q$281,'F3 - Relevé du personnel'!$D$4:$D$281,$BD16,'F3 - Relevé du personnel'!$C$4:$C$281,'F0 - Données générales'!$K$31)</f>
        <v>0</v>
      </c>
      <c r="BO16" s="182">
        <f t="shared" si="4"/>
        <v>0</v>
      </c>
      <c r="BP16" s="197" t="str">
        <f t="shared" si="12"/>
        <v/>
      </c>
      <c r="BQ16" s="198" t="str">
        <f>IF(BG16=0,"",(SUMPRODUCT(($D$4:$D$253=BD16)*($C$4:$C$253='F0 - Données générales'!$K$31)*($E$4:$E$253)*($F$4:$F$253))+SUMPRODUCT(($D$257:$D$281=BD16)*($C$257:$C$281='F0 - Données générales'!$K$31)*($E$257:$E$281)*($F$257:$F$281)))/(SUMIFS('F3 - Relevé du personnel'!$E$4:$E$281,'F3 - Relevé du personnel'!$D$4:$D$281,$BD16,'F3 - Relevé du personnel'!$C$4:$C$281,'F0 - Données générales'!$K$31)))</f>
        <v/>
      </c>
      <c r="BR16" s="40"/>
      <c r="BS16" s="29" t="s">
        <v>335</v>
      </c>
    </row>
    <row r="17" spans="1:78" x14ac:dyDescent="0.3">
      <c r="A17" s="106">
        <v>14</v>
      </c>
      <c r="B17" s="324">
        <f>'F0 - Données générales'!$C$4</f>
        <v>7</v>
      </c>
      <c r="C17" s="106" t="s">
        <v>95</v>
      </c>
      <c r="D17" s="106"/>
      <c r="E17" s="107"/>
      <c r="F17" s="108"/>
      <c r="G17" s="109"/>
      <c r="H17" s="110">
        <f t="shared" si="5"/>
        <v>0</v>
      </c>
      <c r="I17" s="177"/>
      <c r="J17" s="118" t="str">
        <f>IF(OR(D17="",F17=""),"",(((HLOOKUP(D17,'Carrières et points'!$A$20:$AD$60,F17+2,FALSE)*'Carrières et points'!$C$7*'Carrières et points'!$C$9)+(HLOOKUP(D17,'Carrières et points'!$A$20:$AD$60,F17+2,FALSE)*'Carrières et points'!$C$13*'Carrières et points'!$C$15))*(1+'F0 - Données générales'!$I$4)+((HLOOKUP(D17,'Carrières et points'!$A$20:$AD$60,F17+2,FALSE)*'Carrières et points'!$C$7*'Carrières et points'!$C$9)+(HLOOKUP(D17,'Carrières et points'!$A$20:$AD$60,F17+2,FALSE)*'Carrières et points'!$C$13*'Carrières et points'!$C$15))/12*(1+'F0 - Données générales'!$L$13))*E17)</f>
        <v/>
      </c>
      <c r="K17" s="118" t="str">
        <f t="shared" si="6"/>
        <v/>
      </c>
      <c r="L17" s="109"/>
      <c r="M17" s="177"/>
      <c r="N17" s="118" t="str">
        <f t="shared" si="0"/>
        <v/>
      </c>
      <c r="O17" s="177"/>
      <c r="P17" s="177"/>
      <c r="Q17" s="177"/>
      <c r="R17" s="255" t="str">
        <f t="shared" si="7"/>
        <v/>
      </c>
      <c r="S17" s="120"/>
      <c r="T17" s="742" t="s">
        <v>79</v>
      </c>
      <c r="U17" s="742"/>
      <c r="V17" s="26" t="s">
        <v>86</v>
      </c>
      <c r="W17" s="741" t="s">
        <v>87</v>
      </c>
      <c r="X17" s="741"/>
      <c r="Y17" s="181">
        <f>SUMIFS('F3 - Relevé du personnel'!$E$4:$E$281,'F3 - Relevé du personnel'!$D$4:$D$281,$V17,'F3 - Relevé du personnel'!$C$4:$C$281,'F0 - Données générales'!$K$31,'F3 - Relevé du personnel'!$B$4:$B$281,7)</f>
        <v>0</v>
      </c>
      <c r="Z17" s="181">
        <f>SUMIFS('F3 - Relevé du personnel'!$H$4:$H$281,'F3 - Relevé du personnel'!$D$4:$D$281,$V17,'F3 - Relevé du personnel'!$C$4:$C$281,'F0 - Données générales'!$K$31,'F3 - Relevé du personnel'!$B$4:$B$281,7)</f>
        <v>0</v>
      </c>
      <c r="AA17" s="256">
        <f>SUMIFS('F3 - Relevé du personnel'!$I$4:$I$281,'F3 - Relevé du personnel'!$D$4:$D$281,$V17,'F3 - Relevé du personnel'!$C$4:$C$281,'F0 - Données générales'!$K$31,'F3 - Relevé du personnel'!$B$4:$B$281,7)</f>
        <v>0</v>
      </c>
      <c r="AB17" s="256">
        <f>SUMIFS('F3 - Relevé du personnel'!$M$4:$M$281,'F3 - Relevé du personnel'!$D$4:$D$281,$V17,'F3 - Relevé du personnel'!$C$4:$C$281,'F0 - Données générales'!$K$31,'F3 - Relevé du personnel'!$B$4:$B$281,7)</f>
        <v>0</v>
      </c>
      <c r="AC17" s="196">
        <f t="shared" si="1"/>
        <v>0</v>
      </c>
      <c r="AD17" s="256">
        <f>SUMIFS('F3 - Relevé du personnel'!$O$4:$O$281,'F3 - Relevé du personnel'!$D$4:$D$281,$V17,'F3 - Relevé du personnel'!$C$4:$C$281,'F0 - Données générales'!$K$31,'F3 - Relevé du personnel'!$B$4:$B$281,7)</f>
        <v>0</v>
      </c>
      <c r="AE17" s="256">
        <f>SUMIFS('F3 - Relevé du personnel'!$P$4:$P$281,'F3 - Relevé du personnel'!$D$4:$D$281,$V17,'F3 - Relevé du personnel'!$C$4:$C$281,'F0 - Données générales'!$K$31,'F3 - Relevé du personnel'!$B$4:$B$281,7)</f>
        <v>0</v>
      </c>
      <c r="AF17" s="256">
        <f>SUMIFS('F3 - Relevé du personnel'!$Q$4:$Q$281,'F3 - Relevé du personnel'!$D$4:$D$281,$V17,'F3 - Relevé du personnel'!$C$4:$C$281,'F0 - Données générales'!$K$31,'F3 - Relevé du personnel'!$B$4:$B$281,7)</f>
        <v>0</v>
      </c>
      <c r="AG17" s="182">
        <f t="shared" si="2"/>
        <v>0</v>
      </c>
      <c r="AH17" s="197" t="str">
        <f t="shared" si="8"/>
        <v/>
      </c>
      <c r="AI17" s="198" t="str">
        <f>IF(Y17=0,"",(SUMPRODUCT(($D$4:$D$253=V17)*($C$4:$C$253='F0 - Données générales'!$K$31)*($E$4:$E$253)*($F$4:$F$253)*($B$4:$B$253=7))+SUMPRODUCT(($D$257:$D$281=V17)*($C$257:$C$281='F0 - Données générales'!$K$31)*($B$257:$B$281=7)*($E$257:$E$281)*($F$257:$F$281)))/(SUMIFS('F3 - Relevé du personnel'!$E$4:$E$281,'F3 - Relevé du personnel'!$D$4:$D$281,$V17,'F3 - Relevé du personnel'!$C$4:$C$281,'F0 - Données générales'!$K$31,'F3 - Relevé du personnel'!$B$4:$B$281,7)))</f>
        <v/>
      </c>
      <c r="AJ17" s="120"/>
      <c r="AK17" s="742" t="s">
        <v>79</v>
      </c>
      <c r="AL17" s="742"/>
      <c r="AM17" s="26" t="s">
        <v>86</v>
      </c>
      <c r="AN17" s="741" t="s">
        <v>87</v>
      </c>
      <c r="AO17" s="741"/>
      <c r="AP17" s="181">
        <f>SUMIFS('F3 - Relevé du personnel'!$E$4:$E$281,'F3 - Relevé du personnel'!$D$4:$D$281,$AM17,'F3 - Relevé du personnel'!$C$4:$C$281,'F0 - Données générales'!$K$31,'F3 - Relevé du personnel'!$B$4:$B$281,"base-ortho")</f>
        <v>0</v>
      </c>
      <c r="AQ17" s="181">
        <f>SUMIFS('F3 - Relevé du personnel'!$H$4:$H$281,'F3 - Relevé du personnel'!$D$4:$D$281,$AM17,'F3 - Relevé du personnel'!$C$4:$C$281,'F0 - Données générales'!$K$31,'F3 - Relevé du personnel'!$B$4:$B$281,"base-ortho")</f>
        <v>0</v>
      </c>
      <c r="AR17" s="256">
        <f>SUMIFS('F3 - Relevé du personnel'!$I$4:$I$281,'F3 - Relevé du personnel'!$D$4:$D$281,$AM17,'F3 - Relevé du personnel'!$C$4:$C$281,'F0 - Données générales'!$K$31,'F3 - Relevé du personnel'!$B$4:$B$281,"base-ortho")</f>
        <v>0</v>
      </c>
      <c r="AS17" s="256">
        <f>SUMIFS('F3 - Relevé du personnel'!$M$4:$M$281,'F3 - Relevé du personnel'!$D$4:$D$281,$AM17,'F3 - Relevé du personnel'!$C$4:$C$281,'F0 - Données générales'!$K$31,'F3 - Relevé du personnel'!$B$4:$B$281,"base-ortho")</f>
        <v>0</v>
      </c>
      <c r="AT17" s="196">
        <f t="shared" si="19"/>
        <v>0</v>
      </c>
      <c r="AU17" s="256">
        <f>SUMIFS('F3 - Relevé du personnel'!$O$4:$O$281,'F3 - Relevé du personnel'!$D$4:$D$281,$AM17,'F3 - Relevé du personnel'!$C$4:$C$281,'F0 - Données générales'!$K$31,'F3 - Relevé du personnel'!$B$4:$B$281,"base-ortho")</f>
        <v>0</v>
      </c>
      <c r="AV17" s="256">
        <f>SUMIFS('F3 - Relevé du personnel'!$P$4:$P$281,'F3 - Relevé du personnel'!$D$4:$D$281,$AM17,'F3 - Relevé du personnel'!$C$4:$C$281,'F0 - Données générales'!$K$31,'F3 - Relevé du personnel'!$B$4:$B$281,"base-ortho")</f>
        <v>0</v>
      </c>
      <c r="AW17" s="256">
        <f>SUMIFS('F3 - Relevé du personnel'!$Q$4:$Q$281,'F3 - Relevé du personnel'!$D$4:$D$281,$AM17,'F3 - Relevé du personnel'!$C$4:$C$281,'F0 - Données générales'!$K$31,'F3 - Relevé du personnel'!$B$4:$B$281,"base-ortho")</f>
        <v>0</v>
      </c>
      <c r="AX17" s="182">
        <f t="shared" si="20"/>
        <v>0</v>
      </c>
      <c r="AY17" s="197" t="str">
        <f t="shared" si="17"/>
        <v/>
      </c>
      <c r="AZ17" s="198" t="str">
        <f>IF(AP17=0,"",(SUMPRODUCT(($D$4:$D$253=AM17)*($C$4:$C$253='F0 - Données générales'!$K$31)*($E$4:$E$253)*($F$4:$F$253)*($B$4:$B$253="base-ortho"))+SUMPRODUCT(($D$257:$D$281=AM17)*($C$257:$C$281='F0 - Données générales'!$K$31)*($B$257:$B$281="base-ortho")*($E$257:$E$281)*($F$257:$F$281)))/(SUMIFS('F3 - Relevé du personnel'!$E$4:$E$281,'F3 - Relevé du personnel'!$D$4:$D$281,$AM17,'F3 - Relevé du personnel'!$C$4:$C$281,'F0 - Données générales'!$K$31,'F3 - Relevé du personnel'!$B$4:$B$281,"base-ortho")))</f>
        <v/>
      </c>
      <c r="BA17" s="120"/>
      <c r="BB17" s="796" t="s">
        <v>79</v>
      </c>
      <c r="BC17" s="797"/>
      <c r="BD17" s="26" t="s">
        <v>86</v>
      </c>
      <c r="BE17" s="801" t="s">
        <v>87</v>
      </c>
      <c r="BF17" s="802"/>
      <c r="BG17" s="181">
        <f>SUMIFS('F3 - Relevé du personnel'!$E$4:$E$281,'F3 - Relevé du personnel'!$D$4:$D$281,$BD17,'F3 - Relevé du personnel'!$C$4:$C$281,'F0 - Données générales'!$K$31)</f>
        <v>0</v>
      </c>
      <c r="BH17" s="181">
        <f>SUMIFS('F3 - Relevé du personnel'!$H$4:$H$281,'F3 - Relevé du personnel'!$D$4:$D$281,$BD17,'F3 - Relevé du personnel'!$C$4:$C$281,'F0 - Données générales'!$K$31)</f>
        <v>0</v>
      </c>
      <c r="BI17" s="256">
        <f>SUMIFS('F3 - Relevé du personnel'!$I$4:$I$281,'F3 - Relevé du personnel'!$D$4:$D$281,$BD17,'F3 - Relevé du personnel'!$C$4:$C$281,'F0 - Données générales'!$K$31)</f>
        <v>0</v>
      </c>
      <c r="BJ17" s="256">
        <f>SUMIFS('F3 - Relevé du personnel'!$M$4:$M$281,'F3 - Relevé du personnel'!$D$4:$D$281,$BD17,'F3 - Relevé du personnel'!$C$4:$C$281,'F0 - Données générales'!$K$31)</f>
        <v>0</v>
      </c>
      <c r="BK17" s="196">
        <f t="shared" si="3"/>
        <v>0</v>
      </c>
      <c r="BL17" s="256">
        <f>SUMIFS('F3 - Relevé du personnel'!$O$4:$O$281,'F3 - Relevé du personnel'!$D$4:$D$281,$BD17,'F3 - Relevé du personnel'!$C$4:$C$281,'F0 - Données générales'!$K$31)</f>
        <v>0</v>
      </c>
      <c r="BM17" s="256">
        <f>SUMIFS('F3 - Relevé du personnel'!$P$4:$P$281,'F3 - Relevé du personnel'!$D$4:$D$281,$BD17,'F3 - Relevé du personnel'!$C$4:$C$281,'F0 - Données générales'!$K$31)</f>
        <v>0</v>
      </c>
      <c r="BN17" s="256">
        <f>SUMIFS('F3 - Relevé du personnel'!$Q$4:$Q$281,'F3 - Relevé du personnel'!$D$4:$D$281,$BD17,'F3 - Relevé du personnel'!$C$4:$C$281,'F0 - Données générales'!$K$31)</f>
        <v>0</v>
      </c>
      <c r="BO17" s="182">
        <f t="shared" si="4"/>
        <v>0</v>
      </c>
      <c r="BP17" s="197" t="str">
        <f t="shared" si="12"/>
        <v/>
      </c>
      <c r="BQ17" s="198" t="str">
        <f>IF(BG17=0,"",(SUMPRODUCT(($D$4:$D$253=BD17)*($C$4:$C$253='F0 - Données générales'!$K$31)*($E$4:$E$253)*($F$4:$F$253))+SUMPRODUCT(($D$257:$D$281=BD17)*($C$257:$C$281='F0 - Données générales'!$K$31)*($E$257:$E$281)*($F$257:$F$281)))/(SUMIFS('F3 - Relevé du personnel'!$E$4:$E$281,'F3 - Relevé du personnel'!$D$4:$D$281,$BD17,'F3 - Relevé du personnel'!$C$4:$C$281,'F0 - Données générales'!$K$31)))</f>
        <v/>
      </c>
      <c r="BR17" s="40"/>
      <c r="BS17" s="828" t="s">
        <v>230</v>
      </c>
      <c r="BT17" s="829"/>
      <c r="BU17" s="830"/>
      <c r="BV17" s="808" t="s">
        <v>95</v>
      </c>
      <c r="BW17" s="808" t="s">
        <v>285</v>
      </c>
      <c r="BX17" s="808" t="s">
        <v>286</v>
      </c>
      <c r="BY17" s="808" t="s">
        <v>283</v>
      </c>
      <c r="BZ17" s="808" t="s">
        <v>57</v>
      </c>
    </row>
    <row r="18" spans="1:78" x14ac:dyDescent="0.3">
      <c r="A18" s="106">
        <v>15</v>
      </c>
      <c r="B18" s="324">
        <f>'F0 - Données générales'!$C$4</f>
        <v>7</v>
      </c>
      <c r="C18" s="106" t="s">
        <v>95</v>
      </c>
      <c r="D18" s="106"/>
      <c r="E18" s="107"/>
      <c r="F18" s="108"/>
      <c r="G18" s="109"/>
      <c r="H18" s="110">
        <f t="shared" si="5"/>
        <v>0</v>
      </c>
      <c r="I18" s="177"/>
      <c r="J18" s="118" t="str">
        <f>IF(OR(D18="",F18=""),"",(((HLOOKUP(D18,'Carrières et points'!$A$20:$AD$60,F18+2,FALSE)*'Carrières et points'!$C$7*'Carrières et points'!$C$9)+(HLOOKUP(D18,'Carrières et points'!$A$20:$AD$60,F18+2,FALSE)*'Carrières et points'!$C$13*'Carrières et points'!$C$15))*(1+'F0 - Données générales'!$I$4)+((HLOOKUP(D18,'Carrières et points'!$A$20:$AD$60,F18+2,FALSE)*'Carrières et points'!$C$7*'Carrières et points'!$C$9)+(HLOOKUP(D18,'Carrières et points'!$A$20:$AD$60,F18+2,FALSE)*'Carrières et points'!$C$13*'Carrières et points'!$C$15))/12*(1+'F0 - Données générales'!$L$13))*E18)</f>
        <v/>
      </c>
      <c r="K18" s="118" t="str">
        <f t="shared" si="6"/>
        <v/>
      </c>
      <c r="L18" s="109"/>
      <c r="M18" s="177"/>
      <c r="N18" s="118" t="str">
        <f t="shared" si="0"/>
        <v/>
      </c>
      <c r="O18" s="177"/>
      <c r="P18" s="177"/>
      <c r="Q18" s="177"/>
      <c r="R18" s="255" t="str">
        <f t="shared" si="7"/>
        <v/>
      </c>
      <c r="S18" s="120"/>
      <c r="T18" s="742" t="s">
        <v>79</v>
      </c>
      <c r="U18" s="742"/>
      <c r="V18" s="26" t="s">
        <v>88</v>
      </c>
      <c r="W18" s="741" t="s">
        <v>89</v>
      </c>
      <c r="X18" s="741"/>
      <c r="Y18" s="181">
        <f>SUMIFS('F3 - Relevé du personnel'!$E$4:$E$281,'F3 - Relevé du personnel'!$D$4:$D$281,$V18,'F3 - Relevé du personnel'!$C$4:$C$281,'F0 - Données générales'!$K$31,'F3 - Relevé du personnel'!$B$4:$B$281,7)</f>
        <v>0</v>
      </c>
      <c r="Z18" s="181">
        <f>SUMIFS('F3 - Relevé du personnel'!$H$4:$H$281,'F3 - Relevé du personnel'!$D$4:$D$281,$V18,'F3 - Relevé du personnel'!$C$4:$C$281,'F0 - Données générales'!$K$31,'F3 - Relevé du personnel'!$B$4:$B$281,7)</f>
        <v>0</v>
      </c>
      <c r="AA18" s="256">
        <f>SUMIFS('F3 - Relevé du personnel'!$I$4:$I$281,'F3 - Relevé du personnel'!$D$4:$D$281,$V18,'F3 - Relevé du personnel'!$C$4:$C$281,'F0 - Données générales'!$K$31,'F3 - Relevé du personnel'!$B$4:$B$281,7)</f>
        <v>0</v>
      </c>
      <c r="AB18" s="256">
        <f>SUMIFS('F3 - Relevé du personnel'!$M$4:$M$281,'F3 - Relevé du personnel'!$D$4:$D$281,$V18,'F3 - Relevé du personnel'!$C$4:$C$281,'F0 - Données générales'!$K$31,'F3 - Relevé du personnel'!$B$4:$B$281,7)</f>
        <v>0</v>
      </c>
      <c r="AC18" s="196">
        <f t="shared" si="1"/>
        <v>0</v>
      </c>
      <c r="AD18" s="256">
        <f>SUMIFS('F3 - Relevé du personnel'!$O$4:$O$281,'F3 - Relevé du personnel'!$D$4:$D$281,$V18,'F3 - Relevé du personnel'!$C$4:$C$281,'F0 - Données générales'!$K$31,'F3 - Relevé du personnel'!$B$4:$B$281,7)</f>
        <v>0</v>
      </c>
      <c r="AE18" s="256">
        <f>SUMIFS('F3 - Relevé du personnel'!$P$4:$P$281,'F3 - Relevé du personnel'!$D$4:$D$281,$V18,'F3 - Relevé du personnel'!$C$4:$C$281,'F0 - Données générales'!$K$31,'F3 - Relevé du personnel'!$B$4:$B$281,7)</f>
        <v>0</v>
      </c>
      <c r="AF18" s="256">
        <f>SUMIFS('F3 - Relevé du personnel'!$Q$4:$Q$281,'F3 - Relevé du personnel'!$D$4:$D$281,$V18,'F3 - Relevé du personnel'!$C$4:$C$281,'F0 - Données générales'!$K$31,'F3 - Relevé du personnel'!$B$4:$B$281,7)</f>
        <v>0</v>
      </c>
      <c r="AG18" s="182">
        <f t="shared" si="2"/>
        <v>0</v>
      </c>
      <c r="AH18" s="197" t="str">
        <f t="shared" si="8"/>
        <v/>
      </c>
      <c r="AI18" s="198" t="str">
        <f>IF(Y18=0,"",(SUMPRODUCT(($D$4:$D$253=V18)*($C$4:$C$253='F0 - Données générales'!$K$31)*($E$4:$E$253)*($F$4:$F$253)*($B$4:$B$253=7))+SUMPRODUCT(($D$257:$D$281=V18)*($C$257:$C$281='F0 - Données générales'!$K$31)*($B$257:$B$281=7)*($E$257:$E$281)*($F$257:$F$281)))/(SUMIFS('F3 - Relevé du personnel'!$E$4:$E$281,'F3 - Relevé du personnel'!$D$4:$D$281,$V18,'F3 - Relevé du personnel'!$C$4:$C$281,'F0 - Données générales'!$K$31,'F3 - Relevé du personnel'!$B$4:$B$281,7)))</f>
        <v/>
      </c>
      <c r="AJ18" s="120"/>
      <c r="AK18" s="742" t="s">
        <v>79</v>
      </c>
      <c r="AL18" s="742"/>
      <c r="AM18" s="26" t="s">
        <v>88</v>
      </c>
      <c r="AN18" s="741" t="s">
        <v>89</v>
      </c>
      <c r="AO18" s="741"/>
      <c r="AP18" s="181">
        <f>SUMIFS('F3 - Relevé du personnel'!$E$4:$E$281,'F3 - Relevé du personnel'!$D$4:$D$281,$AM18,'F3 - Relevé du personnel'!$C$4:$C$281,'F0 - Données générales'!$K$31,'F3 - Relevé du personnel'!$B$4:$B$281,"base-ortho")</f>
        <v>0</v>
      </c>
      <c r="AQ18" s="181">
        <f>SUMIFS('F3 - Relevé du personnel'!$H$4:$H$281,'F3 - Relevé du personnel'!$D$4:$D$281,$AM18,'F3 - Relevé du personnel'!$C$4:$C$281,'F0 - Données générales'!$K$31,'F3 - Relevé du personnel'!$B$4:$B$281,"base-ortho")</f>
        <v>0</v>
      </c>
      <c r="AR18" s="256">
        <f>SUMIFS('F3 - Relevé du personnel'!$I$4:$I$281,'F3 - Relevé du personnel'!$D$4:$D$281,$AM18,'F3 - Relevé du personnel'!$C$4:$C$281,'F0 - Données générales'!$K$31,'F3 - Relevé du personnel'!$B$4:$B$281,"base-ortho")</f>
        <v>0</v>
      </c>
      <c r="AS18" s="256">
        <f>SUMIFS('F3 - Relevé du personnel'!$M$4:$M$281,'F3 - Relevé du personnel'!$D$4:$D$281,$AM18,'F3 - Relevé du personnel'!$C$4:$C$281,'F0 - Données générales'!$K$31,'F3 - Relevé du personnel'!$B$4:$B$281,"base-ortho")</f>
        <v>0</v>
      </c>
      <c r="AT18" s="196">
        <f t="shared" si="19"/>
        <v>0</v>
      </c>
      <c r="AU18" s="256">
        <f>SUMIFS('F3 - Relevé du personnel'!$O$4:$O$281,'F3 - Relevé du personnel'!$D$4:$D$281,$AM18,'F3 - Relevé du personnel'!$C$4:$C$281,'F0 - Données générales'!$K$31,'F3 - Relevé du personnel'!$B$4:$B$281,"base-ortho")</f>
        <v>0</v>
      </c>
      <c r="AV18" s="256">
        <f>SUMIFS('F3 - Relevé du personnel'!$P$4:$P$281,'F3 - Relevé du personnel'!$D$4:$D$281,$AM18,'F3 - Relevé du personnel'!$C$4:$C$281,'F0 - Données générales'!$K$31,'F3 - Relevé du personnel'!$B$4:$B$281,"base-ortho")</f>
        <v>0</v>
      </c>
      <c r="AW18" s="256">
        <f>SUMIFS('F3 - Relevé du personnel'!$Q$4:$Q$281,'F3 - Relevé du personnel'!$D$4:$D$281,$AM18,'F3 - Relevé du personnel'!$C$4:$C$281,'F0 - Données générales'!$K$31,'F3 - Relevé du personnel'!$B$4:$B$281,"base-ortho")</f>
        <v>0</v>
      </c>
      <c r="AX18" s="182">
        <f t="shared" si="20"/>
        <v>0</v>
      </c>
      <c r="AY18" s="197" t="str">
        <f t="shared" si="17"/>
        <v/>
      </c>
      <c r="AZ18" s="198" t="str">
        <f>IF(AP18=0,"",(SUMPRODUCT(($D$4:$D$253=AM18)*($C$4:$C$253='F0 - Données générales'!$K$31)*($E$4:$E$253)*($F$4:$F$253)*($B$4:$B$253="base-ortho"))+SUMPRODUCT(($D$257:$D$281=AM18)*($C$257:$C$281='F0 - Données générales'!$K$31)*($B$257:$B$281="base-ortho")*($E$257:$E$281)*($F$257:$F$281)))/(SUMIFS('F3 - Relevé du personnel'!$E$4:$E$281,'F3 - Relevé du personnel'!$D$4:$D$281,$AM18,'F3 - Relevé du personnel'!$C$4:$C$281,'F0 - Données générales'!$K$31,'F3 - Relevé du personnel'!$B$4:$B$281,"base-ortho")))</f>
        <v/>
      </c>
      <c r="BA18" s="120"/>
      <c r="BB18" s="796" t="s">
        <v>79</v>
      </c>
      <c r="BC18" s="797"/>
      <c r="BD18" s="26" t="s">
        <v>88</v>
      </c>
      <c r="BE18" s="801" t="s">
        <v>89</v>
      </c>
      <c r="BF18" s="802"/>
      <c r="BG18" s="181">
        <f>SUMIFS('F3 - Relevé du personnel'!$E$4:$E$281,'F3 - Relevé du personnel'!$D$4:$D$281,$BD18,'F3 - Relevé du personnel'!$C$4:$C$281,'F0 - Données générales'!$K$31)</f>
        <v>0</v>
      </c>
      <c r="BH18" s="181">
        <f>SUMIFS('F3 - Relevé du personnel'!$H$4:$H$281,'F3 - Relevé du personnel'!$D$4:$D$281,$BD18,'F3 - Relevé du personnel'!$C$4:$C$281,'F0 - Données générales'!$K$31)</f>
        <v>0</v>
      </c>
      <c r="BI18" s="256">
        <f>SUMIFS('F3 - Relevé du personnel'!$I$4:$I$281,'F3 - Relevé du personnel'!$D$4:$D$281,$BD18,'F3 - Relevé du personnel'!$C$4:$C$281,'F0 - Données générales'!$K$31)</f>
        <v>0</v>
      </c>
      <c r="BJ18" s="256">
        <f>SUMIFS('F3 - Relevé du personnel'!$M$4:$M$281,'F3 - Relevé du personnel'!$D$4:$D$281,$BD18,'F3 - Relevé du personnel'!$C$4:$C$281,'F0 - Données générales'!$K$31)</f>
        <v>0</v>
      </c>
      <c r="BK18" s="196">
        <f t="shared" si="3"/>
        <v>0</v>
      </c>
      <c r="BL18" s="256">
        <f>SUMIFS('F3 - Relevé du personnel'!$O$4:$O$281,'F3 - Relevé du personnel'!$D$4:$D$281,$BD18,'F3 - Relevé du personnel'!$C$4:$C$281,'F0 - Données générales'!$K$31)</f>
        <v>0</v>
      </c>
      <c r="BM18" s="256">
        <f>SUMIFS('F3 - Relevé du personnel'!$P$4:$P$281,'F3 - Relevé du personnel'!$D$4:$D$281,$BD18,'F3 - Relevé du personnel'!$C$4:$C$281,'F0 - Données générales'!$K$31)</f>
        <v>0</v>
      </c>
      <c r="BN18" s="256">
        <f>SUMIFS('F3 - Relevé du personnel'!$Q$4:$Q$281,'F3 - Relevé du personnel'!$D$4:$D$281,$BD18,'F3 - Relevé du personnel'!$C$4:$C$281,'F0 - Données générales'!$K$31)</f>
        <v>0</v>
      </c>
      <c r="BO18" s="182">
        <f t="shared" si="4"/>
        <v>0</v>
      </c>
      <c r="BP18" s="197" t="str">
        <f t="shared" si="12"/>
        <v/>
      </c>
      <c r="BQ18" s="198" t="str">
        <f>IF(BG18=0,"",(SUMPRODUCT(($D$4:$D$253=BD18)*($C$4:$C$253='F0 - Données générales'!$K$31)*($E$4:$E$253)*($F$4:$F$253))+SUMPRODUCT(($D$257:$D$281=BD18)*($C$257:$C$281='F0 - Données générales'!$K$31)*($E$257:$E$281)*($F$257:$F$281)))/(SUMIFS('F3 - Relevé du personnel'!$E$4:$E$281,'F3 - Relevé du personnel'!$D$4:$D$281,$BD18,'F3 - Relevé du personnel'!$C$4:$C$281,'F0 - Données générales'!$K$31)))</f>
        <v/>
      </c>
      <c r="BR18" s="40"/>
      <c r="BS18" s="831"/>
      <c r="BT18" s="832"/>
      <c r="BU18" s="833"/>
      <c r="BV18" s="809"/>
      <c r="BW18" s="809"/>
      <c r="BX18" s="809"/>
      <c r="BY18" s="809"/>
      <c r="BZ18" s="809"/>
    </row>
    <row r="19" spans="1:78" x14ac:dyDescent="0.3">
      <c r="A19" s="106">
        <v>16</v>
      </c>
      <c r="B19" s="324">
        <f>'F0 - Données générales'!$C$4</f>
        <v>7</v>
      </c>
      <c r="C19" s="106" t="s">
        <v>95</v>
      </c>
      <c r="D19" s="106"/>
      <c r="E19" s="107"/>
      <c r="F19" s="108"/>
      <c r="G19" s="109"/>
      <c r="H19" s="110">
        <f t="shared" si="5"/>
        <v>0</v>
      </c>
      <c r="I19" s="177"/>
      <c r="J19" s="118" t="str">
        <f>IF(OR(D19="",F19=""),"",(((HLOOKUP(D19,'Carrières et points'!$A$20:$AD$60,F19+2,FALSE)*'Carrières et points'!$C$7*'Carrières et points'!$C$9)+(HLOOKUP(D19,'Carrières et points'!$A$20:$AD$60,F19+2,FALSE)*'Carrières et points'!$C$13*'Carrières et points'!$C$15))*(1+'F0 - Données générales'!$I$4)+((HLOOKUP(D19,'Carrières et points'!$A$20:$AD$60,F19+2,FALSE)*'Carrières et points'!$C$7*'Carrières et points'!$C$9)+(HLOOKUP(D19,'Carrières et points'!$A$20:$AD$60,F19+2,FALSE)*'Carrières et points'!$C$13*'Carrières et points'!$C$15))/12*(1+'F0 - Données générales'!$L$13))*E19)</f>
        <v/>
      </c>
      <c r="K19" s="118" t="str">
        <f t="shared" si="6"/>
        <v/>
      </c>
      <c r="L19" s="109"/>
      <c r="M19" s="177"/>
      <c r="N19" s="118" t="str">
        <f t="shared" si="0"/>
        <v/>
      </c>
      <c r="O19" s="177"/>
      <c r="P19" s="177"/>
      <c r="Q19" s="177"/>
      <c r="R19" s="255" t="str">
        <f t="shared" si="7"/>
        <v/>
      </c>
      <c r="S19" s="120"/>
      <c r="T19" s="742" t="s">
        <v>79</v>
      </c>
      <c r="U19" s="742"/>
      <c r="V19" s="26" t="s">
        <v>90</v>
      </c>
      <c r="W19" s="741" t="s">
        <v>91</v>
      </c>
      <c r="X19" s="741"/>
      <c r="Y19" s="181">
        <f>SUMIFS('F3 - Relevé du personnel'!$E$4:$E$281,'F3 - Relevé du personnel'!$D$4:$D$281,$V19,'F3 - Relevé du personnel'!$C$4:$C$281,'F0 - Données générales'!$K$31,'F3 - Relevé du personnel'!$B$4:$B$281,7)</f>
        <v>0</v>
      </c>
      <c r="Z19" s="181">
        <f>SUMIFS('F3 - Relevé du personnel'!$H$4:$H$281,'F3 - Relevé du personnel'!$D$4:$D$281,$V19,'F3 - Relevé du personnel'!$C$4:$C$281,'F0 - Données générales'!$K$31,'F3 - Relevé du personnel'!$B$4:$B$281,7)</f>
        <v>0</v>
      </c>
      <c r="AA19" s="256">
        <f>SUMIFS('F3 - Relevé du personnel'!$I$4:$I$281,'F3 - Relevé du personnel'!$D$4:$D$281,$V19,'F3 - Relevé du personnel'!$C$4:$C$281,'F0 - Données générales'!$K$31,'F3 - Relevé du personnel'!$B$4:$B$281,7)</f>
        <v>0</v>
      </c>
      <c r="AB19" s="256">
        <f>SUMIFS('F3 - Relevé du personnel'!$M$4:$M$281,'F3 - Relevé du personnel'!$D$4:$D$281,$V19,'F3 - Relevé du personnel'!$C$4:$C$281,'F0 - Données générales'!$K$31,'F3 - Relevé du personnel'!$B$4:$B$281,7)</f>
        <v>0</v>
      </c>
      <c r="AC19" s="196">
        <f t="shared" si="1"/>
        <v>0</v>
      </c>
      <c r="AD19" s="256">
        <f>SUMIFS('F3 - Relevé du personnel'!$O$4:$O$281,'F3 - Relevé du personnel'!$D$4:$D$281,$V19,'F3 - Relevé du personnel'!$C$4:$C$281,'F0 - Données générales'!$K$31,'F3 - Relevé du personnel'!$B$4:$B$281,7)</f>
        <v>0</v>
      </c>
      <c r="AE19" s="256">
        <f>SUMIFS('F3 - Relevé du personnel'!$P$4:$P$281,'F3 - Relevé du personnel'!$D$4:$D$281,$V19,'F3 - Relevé du personnel'!$C$4:$C$281,'F0 - Données générales'!$K$31,'F3 - Relevé du personnel'!$B$4:$B$281,7)</f>
        <v>0</v>
      </c>
      <c r="AF19" s="256">
        <f>SUMIFS('F3 - Relevé du personnel'!$Q$4:$Q$281,'F3 - Relevé du personnel'!$D$4:$D$281,$V19,'F3 - Relevé du personnel'!$C$4:$C$281,'F0 - Données générales'!$K$31,'F3 - Relevé du personnel'!$B$4:$B$281,7)</f>
        <v>0</v>
      </c>
      <c r="AG19" s="182">
        <f t="shared" si="2"/>
        <v>0</v>
      </c>
      <c r="AH19" s="197" t="str">
        <f t="shared" si="8"/>
        <v/>
      </c>
      <c r="AI19" s="198" t="str">
        <f>IF(Y19=0,"",(SUMPRODUCT(($D$4:$D$253=V19)*($C$4:$C$253='F0 - Données générales'!$K$31)*($E$4:$E$253)*($F$4:$F$253)*($B$4:$B$253=7))+SUMPRODUCT(($D$257:$D$281=V19)*($C$257:$C$281='F0 - Données générales'!$K$31)*($B$257:$B$281=7)*($E$257:$E$281)*($F$257:$F$281)))/(SUMIFS('F3 - Relevé du personnel'!$E$4:$E$281,'F3 - Relevé du personnel'!$D$4:$D$281,$V19,'F3 - Relevé du personnel'!$C$4:$C$281,'F0 - Données générales'!$K$31,'F3 - Relevé du personnel'!$B$4:$B$281,7)))</f>
        <v/>
      </c>
      <c r="AJ19" s="120"/>
      <c r="AK19" s="742" t="s">
        <v>79</v>
      </c>
      <c r="AL19" s="742"/>
      <c r="AM19" s="26" t="s">
        <v>90</v>
      </c>
      <c r="AN19" s="741" t="s">
        <v>91</v>
      </c>
      <c r="AO19" s="741"/>
      <c r="AP19" s="181">
        <f>SUMIFS('F3 - Relevé du personnel'!$E$4:$E$281,'F3 - Relevé du personnel'!$D$4:$D$281,$AM19,'F3 - Relevé du personnel'!$C$4:$C$281,'F0 - Données générales'!$K$31,'F3 - Relevé du personnel'!$B$4:$B$281,"base-ortho")</f>
        <v>0</v>
      </c>
      <c r="AQ19" s="181">
        <f>SUMIFS('F3 - Relevé du personnel'!$H$4:$H$281,'F3 - Relevé du personnel'!$D$4:$D$281,$AM19,'F3 - Relevé du personnel'!$C$4:$C$281,'F0 - Données générales'!$K$31,'F3 - Relevé du personnel'!$B$4:$B$281,"base-ortho")</f>
        <v>0</v>
      </c>
      <c r="AR19" s="256">
        <f>SUMIFS('F3 - Relevé du personnel'!$I$4:$I$281,'F3 - Relevé du personnel'!$D$4:$D$281,$AM19,'F3 - Relevé du personnel'!$C$4:$C$281,'F0 - Données générales'!$K$31,'F3 - Relevé du personnel'!$B$4:$B$281,"base-ortho")</f>
        <v>0</v>
      </c>
      <c r="AS19" s="256">
        <f>SUMIFS('F3 - Relevé du personnel'!$M$4:$M$281,'F3 - Relevé du personnel'!$D$4:$D$281,$AM19,'F3 - Relevé du personnel'!$C$4:$C$281,'F0 - Données générales'!$K$31,'F3 - Relevé du personnel'!$B$4:$B$281,"base-ortho")</f>
        <v>0</v>
      </c>
      <c r="AT19" s="196">
        <f t="shared" si="19"/>
        <v>0</v>
      </c>
      <c r="AU19" s="256">
        <f>SUMIFS('F3 - Relevé du personnel'!$O$4:$O$281,'F3 - Relevé du personnel'!$D$4:$D$281,$AM19,'F3 - Relevé du personnel'!$C$4:$C$281,'F0 - Données générales'!$K$31,'F3 - Relevé du personnel'!$B$4:$B$281,"base-ortho")</f>
        <v>0</v>
      </c>
      <c r="AV19" s="256">
        <f>SUMIFS('F3 - Relevé du personnel'!$P$4:$P$281,'F3 - Relevé du personnel'!$D$4:$D$281,$AM19,'F3 - Relevé du personnel'!$C$4:$C$281,'F0 - Données générales'!$K$31,'F3 - Relevé du personnel'!$B$4:$B$281,"base-ortho")</f>
        <v>0</v>
      </c>
      <c r="AW19" s="256">
        <f>SUMIFS('F3 - Relevé du personnel'!$Q$4:$Q$281,'F3 - Relevé du personnel'!$D$4:$D$281,$AM19,'F3 - Relevé du personnel'!$C$4:$C$281,'F0 - Données générales'!$K$31,'F3 - Relevé du personnel'!$B$4:$B$281,"base-ortho")</f>
        <v>0</v>
      </c>
      <c r="AX19" s="182">
        <f t="shared" si="20"/>
        <v>0</v>
      </c>
      <c r="AY19" s="197" t="str">
        <f t="shared" si="17"/>
        <v/>
      </c>
      <c r="AZ19" s="198" t="str">
        <f>IF(AP19=0,"",(SUMPRODUCT(($D$4:$D$253=AM19)*($C$4:$C$253='F0 - Données générales'!$K$31)*($E$4:$E$253)*($F$4:$F$253)*($B$4:$B$253="base-ortho"))+SUMPRODUCT(($D$257:$D$281=AM19)*($C$257:$C$281='F0 - Données générales'!$K$31)*($B$257:$B$281="base-ortho")*($E$257:$E$281)*($F$257:$F$281)))/(SUMIFS('F3 - Relevé du personnel'!$E$4:$E$281,'F3 - Relevé du personnel'!$D$4:$D$281,$AM19,'F3 - Relevé du personnel'!$C$4:$C$281,'F0 - Données générales'!$K$31,'F3 - Relevé du personnel'!$B$4:$B$281,"base-ortho")))</f>
        <v/>
      </c>
      <c r="BA19" s="120"/>
      <c r="BB19" s="796" t="s">
        <v>79</v>
      </c>
      <c r="BC19" s="797"/>
      <c r="BD19" s="26" t="s">
        <v>90</v>
      </c>
      <c r="BE19" s="801" t="s">
        <v>91</v>
      </c>
      <c r="BF19" s="802"/>
      <c r="BG19" s="181">
        <f>SUMIFS('F3 - Relevé du personnel'!$E$4:$E$281,'F3 - Relevé du personnel'!$D$4:$D$281,$BD19,'F3 - Relevé du personnel'!$C$4:$C$281,'F0 - Données générales'!$K$31)</f>
        <v>0</v>
      </c>
      <c r="BH19" s="181">
        <f>SUMIFS('F3 - Relevé du personnel'!$H$4:$H$281,'F3 - Relevé du personnel'!$D$4:$D$281,$BD19,'F3 - Relevé du personnel'!$C$4:$C$281,'F0 - Données générales'!$K$31)</f>
        <v>0</v>
      </c>
      <c r="BI19" s="256">
        <f>SUMIFS('F3 - Relevé du personnel'!$I$4:$I$281,'F3 - Relevé du personnel'!$D$4:$D$281,$BD19,'F3 - Relevé du personnel'!$C$4:$C$281,'F0 - Données générales'!$K$31)</f>
        <v>0</v>
      </c>
      <c r="BJ19" s="256">
        <f>SUMIFS('F3 - Relevé du personnel'!$M$4:$M$281,'F3 - Relevé du personnel'!$D$4:$D$281,$BD19,'F3 - Relevé du personnel'!$C$4:$C$281,'F0 - Données générales'!$K$31)</f>
        <v>0</v>
      </c>
      <c r="BK19" s="196">
        <f t="shared" si="3"/>
        <v>0</v>
      </c>
      <c r="BL19" s="256">
        <f>SUMIFS('F3 - Relevé du personnel'!$O$4:$O$281,'F3 - Relevé du personnel'!$D$4:$D$281,$BD19,'F3 - Relevé du personnel'!$C$4:$C$281,'F0 - Données générales'!$K$31)</f>
        <v>0</v>
      </c>
      <c r="BM19" s="256">
        <f>SUMIFS('F3 - Relevé du personnel'!$P$4:$P$281,'F3 - Relevé du personnel'!$D$4:$D$281,$BD19,'F3 - Relevé du personnel'!$C$4:$C$281,'F0 - Données générales'!$K$31)</f>
        <v>0</v>
      </c>
      <c r="BN19" s="256">
        <f>SUMIFS('F3 - Relevé du personnel'!$Q$4:$Q$281,'F3 - Relevé du personnel'!$D$4:$D$281,$BD19,'F3 - Relevé du personnel'!$C$4:$C$281,'F0 - Données générales'!$K$31)</f>
        <v>0</v>
      </c>
      <c r="BO19" s="182">
        <f t="shared" si="4"/>
        <v>0</v>
      </c>
      <c r="BP19" s="197" t="str">
        <f t="shared" si="12"/>
        <v/>
      </c>
      <c r="BQ19" s="198" t="str">
        <f>IF(BG19=0,"",(SUMPRODUCT(($D$4:$D$253=BD19)*($C$4:$C$253='F0 - Données générales'!$K$31)*($E$4:$E$253)*($F$4:$F$253))+SUMPRODUCT(($D$257:$D$281=BD19)*($C$257:$C$281='F0 - Données générales'!$K$31)*($E$257:$E$281)*($F$257:$F$281)))/(SUMIFS('F3 - Relevé du personnel'!$E$4:$E$281,'F3 - Relevé du personnel'!$D$4:$D$281,$BD19,'F3 - Relevé du personnel'!$C$4:$C$281,'F0 - Données générales'!$K$31)))</f>
        <v/>
      </c>
      <c r="BR19" s="204"/>
      <c r="BS19" s="831"/>
      <c r="BT19" s="832"/>
      <c r="BU19" s="833"/>
      <c r="BV19" s="809"/>
      <c r="BW19" s="809"/>
      <c r="BX19" s="809"/>
      <c r="BY19" s="809"/>
      <c r="BZ19" s="809"/>
    </row>
    <row r="20" spans="1:78" x14ac:dyDescent="0.3">
      <c r="A20" s="106">
        <v>17</v>
      </c>
      <c r="B20" s="324">
        <f>'F0 - Données générales'!$C$4</f>
        <v>7</v>
      </c>
      <c r="C20" s="106" t="s">
        <v>95</v>
      </c>
      <c r="D20" s="106"/>
      <c r="E20" s="107"/>
      <c r="F20" s="108"/>
      <c r="G20" s="109"/>
      <c r="H20" s="110">
        <f t="shared" si="5"/>
        <v>0</v>
      </c>
      <c r="I20" s="177"/>
      <c r="J20" s="118" t="str">
        <f>IF(OR(D20="",F20=""),"",(((HLOOKUP(D20,'Carrières et points'!$A$20:$AD$60,F20+2,FALSE)*'Carrières et points'!$C$7*'Carrières et points'!$C$9)+(HLOOKUP(D20,'Carrières et points'!$A$20:$AD$60,F20+2,FALSE)*'Carrières et points'!$C$13*'Carrières et points'!$C$15))*(1+'F0 - Données générales'!$I$4)+((HLOOKUP(D20,'Carrières et points'!$A$20:$AD$60,F20+2,FALSE)*'Carrières et points'!$C$7*'Carrières et points'!$C$9)+(HLOOKUP(D20,'Carrières et points'!$A$20:$AD$60,F20+2,FALSE)*'Carrières et points'!$C$13*'Carrières et points'!$C$15))/12*(1+'F0 - Données générales'!$L$13))*E20)</f>
        <v/>
      </c>
      <c r="K20" s="118" t="str">
        <f t="shared" si="6"/>
        <v/>
      </c>
      <c r="L20" s="109"/>
      <c r="M20" s="177"/>
      <c r="N20" s="118" t="str">
        <f t="shared" si="0"/>
        <v/>
      </c>
      <c r="O20" s="177"/>
      <c r="P20" s="177"/>
      <c r="Q20" s="177"/>
      <c r="R20" s="255" t="str">
        <f t="shared" si="7"/>
        <v/>
      </c>
      <c r="S20" s="120"/>
      <c r="T20" s="743"/>
      <c r="U20" s="743"/>
      <c r="V20" s="749" t="s">
        <v>166</v>
      </c>
      <c r="W20" s="749"/>
      <c r="X20" s="749"/>
      <c r="Y20" s="199">
        <f>SUM(Y14:Y19)</f>
        <v>0</v>
      </c>
      <c r="Z20" s="199">
        <f>SUM(Z14:Z19)</f>
        <v>0</v>
      </c>
      <c r="AA20" s="200">
        <f>SUM(AA14:AA19)</f>
        <v>0</v>
      </c>
      <c r="AB20" s="200">
        <f>SUM(AB14:AB19)</f>
        <v>0</v>
      </c>
      <c r="AC20" s="200">
        <f t="shared" si="1"/>
        <v>0</v>
      </c>
      <c r="AD20" s="200">
        <f>SUM(AD14:AD19)</f>
        <v>0</v>
      </c>
      <c r="AE20" s="200">
        <f>SUM(AE14:AE19)</f>
        <v>0</v>
      </c>
      <c r="AF20" s="200">
        <f>SUM(AF14:AF19)</f>
        <v>0</v>
      </c>
      <c r="AG20" s="201">
        <f t="shared" si="2"/>
        <v>0</v>
      </c>
      <c r="AH20" s="201" t="str">
        <f t="shared" si="8"/>
        <v/>
      </c>
      <c r="AI20" s="202"/>
      <c r="AJ20" s="120"/>
      <c r="AK20" s="743"/>
      <c r="AL20" s="743"/>
      <c r="AM20" s="749" t="s">
        <v>166</v>
      </c>
      <c r="AN20" s="749"/>
      <c r="AO20" s="749"/>
      <c r="AP20" s="199">
        <f>SUM(AP14:AP19)</f>
        <v>0</v>
      </c>
      <c r="AQ20" s="199">
        <f>SUM(AQ14:AQ19)</f>
        <v>0</v>
      </c>
      <c r="AR20" s="200">
        <f>SUM(AR14:AR19)</f>
        <v>0</v>
      </c>
      <c r="AS20" s="200">
        <f>SUM(AS14:AS19)</f>
        <v>0</v>
      </c>
      <c r="AT20" s="200">
        <f>(AR20+AS20)</f>
        <v>0</v>
      </c>
      <c r="AU20" s="200">
        <f>SUM(AU14:AU19)</f>
        <v>0</v>
      </c>
      <c r="AV20" s="200">
        <f>SUM(AV14:AV19)</f>
        <v>0</v>
      </c>
      <c r="AW20" s="200">
        <f>SUM(AW14:AW19)</f>
        <v>0</v>
      </c>
      <c r="AX20" s="201">
        <f>AR20+AS20-SUM(AU20:AW20)</f>
        <v>0</v>
      </c>
      <c r="AY20" s="201" t="str">
        <f t="shared" si="17"/>
        <v/>
      </c>
      <c r="AZ20" s="202"/>
      <c r="BA20" s="120"/>
      <c r="BB20" s="764"/>
      <c r="BC20" s="765"/>
      <c r="BD20" s="798" t="s">
        <v>166</v>
      </c>
      <c r="BE20" s="799"/>
      <c r="BF20" s="800"/>
      <c r="BG20" s="199">
        <f>SUM(BG14:BG19)</f>
        <v>0</v>
      </c>
      <c r="BH20" s="199">
        <f>SUM(BH14:BH19)</f>
        <v>0</v>
      </c>
      <c r="BI20" s="200">
        <f>SUM(BI14:BI19)</f>
        <v>0</v>
      </c>
      <c r="BJ20" s="200">
        <f>SUM(BJ14:BJ19)</f>
        <v>0</v>
      </c>
      <c r="BK20" s="200">
        <f t="shared" si="3"/>
        <v>0</v>
      </c>
      <c r="BL20" s="200">
        <f>SUM(BL14:BL19)</f>
        <v>0</v>
      </c>
      <c r="BM20" s="200">
        <f>SUM(BM14:BM19)</f>
        <v>0</v>
      </c>
      <c r="BN20" s="200">
        <f>SUM(BN14:BN19)</f>
        <v>0</v>
      </c>
      <c r="BO20" s="201">
        <f t="shared" si="4"/>
        <v>0</v>
      </c>
      <c r="BP20" s="201" t="str">
        <f t="shared" si="12"/>
        <v/>
      </c>
      <c r="BQ20" s="202"/>
      <c r="BR20" s="40"/>
      <c r="BS20" s="834"/>
      <c r="BT20" s="835"/>
      <c r="BU20" s="836"/>
      <c r="BV20" s="810"/>
      <c r="BW20" s="810"/>
      <c r="BX20" s="810"/>
      <c r="BY20" s="810"/>
      <c r="BZ20" s="810"/>
    </row>
    <row r="21" spans="1:78" ht="15" customHeight="1" x14ac:dyDescent="0.3">
      <c r="A21" s="106">
        <v>18</v>
      </c>
      <c r="B21" s="324">
        <f>'F0 - Données générales'!$C$4</f>
        <v>7</v>
      </c>
      <c r="C21" s="106" t="s">
        <v>95</v>
      </c>
      <c r="D21" s="106"/>
      <c r="E21" s="107"/>
      <c r="F21" s="108"/>
      <c r="G21" s="109"/>
      <c r="H21" s="110">
        <f t="shared" si="5"/>
        <v>0</v>
      </c>
      <c r="I21" s="177"/>
      <c r="J21" s="118" t="str">
        <f>IF(OR(D21="",F21=""),"",(((HLOOKUP(D21,'Carrières et points'!$A$20:$AD$60,F21+2,FALSE)*'Carrières et points'!$C$7*'Carrières et points'!$C$9)+(HLOOKUP(D21,'Carrières et points'!$A$20:$AD$60,F21+2,FALSE)*'Carrières et points'!$C$13*'Carrières et points'!$C$15))*(1+'F0 - Données générales'!$I$4)+((HLOOKUP(D21,'Carrières et points'!$A$20:$AD$60,F21+2,FALSE)*'Carrières et points'!$C$7*'Carrières et points'!$C$9)+(HLOOKUP(D21,'Carrières et points'!$A$20:$AD$60,F21+2,FALSE)*'Carrières et points'!$C$13*'Carrières et points'!$C$15))/12*(1+'F0 - Données générales'!$L$13))*E21)</f>
        <v/>
      </c>
      <c r="K21" s="118" t="str">
        <f t="shared" si="6"/>
        <v/>
      </c>
      <c r="L21" s="109"/>
      <c r="M21" s="177"/>
      <c r="N21" s="118" t="str">
        <f t="shared" si="0"/>
        <v/>
      </c>
      <c r="O21" s="177"/>
      <c r="P21" s="177"/>
      <c r="Q21" s="177"/>
      <c r="R21" s="255" t="str">
        <f t="shared" si="7"/>
        <v/>
      </c>
      <c r="S21" s="120"/>
      <c r="T21" s="742" t="s">
        <v>79</v>
      </c>
      <c r="U21" s="742"/>
      <c r="V21" s="26" t="s">
        <v>92</v>
      </c>
      <c r="W21" s="741" t="s">
        <v>93</v>
      </c>
      <c r="X21" s="741"/>
      <c r="Y21" s="181">
        <f>SUMIFS('F3 - Relevé du personnel'!$E$4:$E$281,'F3 - Relevé du personnel'!$D$4:$D$281,$V21,'F3 - Relevé du personnel'!$C$4:$C$281,'F0 - Données générales'!$K$31,'F3 - Relevé du personnel'!$B$4:$B$281,7)</f>
        <v>0</v>
      </c>
      <c r="Z21" s="181">
        <f>SUMIFS('F3 - Relevé du personnel'!$H$4:$H$281,'F3 - Relevé du personnel'!$D$4:$D$281,$V21,'F3 - Relevé du personnel'!$C$4:$C$281,'F0 - Données générales'!$K$31,'F3 - Relevé du personnel'!$B$4:$B$281,7)</f>
        <v>0</v>
      </c>
      <c r="AA21" s="256">
        <f>SUMIFS('F3 - Relevé du personnel'!$I$4:$I$281,'F3 - Relevé du personnel'!$D$4:$D$281,$V21,'F3 - Relevé du personnel'!$C$4:$C$281,'F0 - Données générales'!$K$31,'F3 - Relevé du personnel'!$B$4:$B$281,7)</f>
        <v>0</v>
      </c>
      <c r="AB21" s="256">
        <f>SUMIFS('F3 - Relevé du personnel'!$M$4:$M$281,'F3 - Relevé du personnel'!$D$4:$D$281,$V21,'F3 - Relevé du personnel'!$C$4:$C$281,'F0 - Données générales'!$K$31,'F3 - Relevé du personnel'!$B$4:$B$281,7)</f>
        <v>0</v>
      </c>
      <c r="AC21" s="196">
        <f t="shared" si="1"/>
        <v>0</v>
      </c>
      <c r="AD21" s="256">
        <f>SUMIFS('F3 - Relevé du personnel'!$O$4:$O$281,'F3 - Relevé du personnel'!$D$4:$D$281,$V21,'F3 - Relevé du personnel'!$C$4:$C$281,'F0 - Données générales'!$K$31,'F3 - Relevé du personnel'!$B$4:$B$281,7)</f>
        <v>0</v>
      </c>
      <c r="AE21" s="256">
        <f>SUMIFS('F3 - Relevé du personnel'!$P$4:$P$281,'F3 - Relevé du personnel'!$D$4:$D$281,$V21,'F3 - Relevé du personnel'!$C$4:$C$281,'F0 - Données générales'!$K$31,'F3 - Relevé du personnel'!$B$4:$B$281,7)</f>
        <v>0</v>
      </c>
      <c r="AF21" s="256">
        <f>SUMIFS('F3 - Relevé du personnel'!$Q$4:$Q$281,'F3 - Relevé du personnel'!$D$4:$D$281,$V21,'F3 - Relevé du personnel'!$C$4:$C$281,'F0 - Données générales'!$K$31,'F3 - Relevé du personnel'!$B$4:$B$281,7)</f>
        <v>0</v>
      </c>
      <c r="AG21" s="182">
        <f t="shared" si="2"/>
        <v>0</v>
      </c>
      <c r="AH21" s="197" t="str">
        <f t="shared" si="8"/>
        <v/>
      </c>
      <c r="AI21" s="198" t="str">
        <f>IF(Y21=0,"",(SUMPRODUCT(($D$4:$D$253=V21)*($C$4:$C$253='F0 - Données générales'!$K$31)*($E$4:$E$253)*($F$4:$F$253)*($B$4:$B$253=7))+SUMPRODUCT(($D$257:$D$281=V21)*($C$257:$C$281='F0 - Données générales'!$K$31)*($B$257:$B$281=7)*($E$257:$E$281)*($F$257:$F$281)))/(SUMIFS('F3 - Relevé du personnel'!$E$4:$E$281,'F3 - Relevé du personnel'!$D$4:$D$281,$V21,'F3 - Relevé du personnel'!$C$4:$C$281,'F0 - Données générales'!$K$31,'F3 - Relevé du personnel'!$B$4:$B$281,7)))</f>
        <v/>
      </c>
      <c r="AJ21" s="120"/>
      <c r="AK21" s="742" t="s">
        <v>79</v>
      </c>
      <c r="AL21" s="742"/>
      <c r="AM21" s="26" t="s">
        <v>92</v>
      </c>
      <c r="AN21" s="741" t="s">
        <v>93</v>
      </c>
      <c r="AO21" s="741"/>
      <c r="AP21" s="181">
        <f>SUMIFS('F3 - Relevé du personnel'!$E$4:$E$281,'F3 - Relevé du personnel'!$D$4:$D$281,$AM21,'F3 - Relevé du personnel'!$C$4:$C$281,'F0 - Données générales'!$K$31,'F3 - Relevé du personnel'!$B$4:$B$281,"base-ortho")</f>
        <v>0</v>
      </c>
      <c r="AQ21" s="181">
        <f>SUMIFS('F3 - Relevé du personnel'!$H$4:$H$281,'F3 - Relevé du personnel'!$D$4:$D$281,$AM21,'F3 - Relevé du personnel'!$C$4:$C$281,'F0 - Données générales'!$K$31,'F3 - Relevé du personnel'!$B$4:$B$281,"base-ortho")</f>
        <v>0</v>
      </c>
      <c r="AR21" s="256">
        <f>SUMIFS('F3 - Relevé du personnel'!$I$4:$I$281,'F3 - Relevé du personnel'!$D$4:$D$281,$AM21,'F3 - Relevé du personnel'!$C$4:$C$281,'F0 - Données générales'!$K$31,'F3 - Relevé du personnel'!$B$4:$B$281,"base-ortho")</f>
        <v>0</v>
      </c>
      <c r="AS21" s="256">
        <f>SUMIFS('F3 - Relevé du personnel'!$M$4:$M$281,'F3 - Relevé du personnel'!$D$4:$D$281,$AM21,'F3 - Relevé du personnel'!$C$4:$C$281,'F0 - Données générales'!$K$31,'F3 - Relevé du personnel'!$B$4:$B$281,"base-ortho")</f>
        <v>0</v>
      </c>
      <c r="AT21" s="196">
        <f>(AR21+AS21)</f>
        <v>0</v>
      </c>
      <c r="AU21" s="256">
        <f>SUMIFS('F3 - Relevé du personnel'!$O$4:$O$281,'F3 - Relevé du personnel'!$D$4:$D$281,$AM21,'F3 - Relevé du personnel'!$C$4:$C$281,'F0 - Données générales'!$K$31,'F3 - Relevé du personnel'!$B$4:$B$281,"base-ortho")</f>
        <v>0</v>
      </c>
      <c r="AV21" s="256">
        <f>SUMIFS('F3 - Relevé du personnel'!$P$4:$P$281,'F3 - Relevé du personnel'!$D$4:$D$281,$AM21,'F3 - Relevé du personnel'!$C$4:$C$281,'F0 - Données générales'!$K$31,'F3 - Relevé du personnel'!$B$4:$B$281,"base-ortho")</f>
        <v>0</v>
      </c>
      <c r="AW21" s="256">
        <f>SUMIFS('F3 - Relevé du personnel'!$Q$4:$Q$281,'F3 - Relevé du personnel'!$D$4:$D$281,$AM21,'F3 - Relevé du personnel'!$C$4:$C$281,'F0 - Données générales'!$K$31,'F3 - Relevé du personnel'!$B$4:$B$281,"base-ortho")</f>
        <v>0</v>
      </c>
      <c r="AX21" s="182">
        <f>AR21+AS21-SUM(AU21:AW21)</f>
        <v>0</v>
      </c>
      <c r="AY21" s="197" t="str">
        <f>IF(AP21=0,"",(AX21)/AP21)</f>
        <v/>
      </c>
      <c r="AZ21" s="198" t="str">
        <f>IF(AP21=0,"",(SUMPRODUCT(($D$4:$D$253=AM21)*($C$4:$C$253='F0 - Données générales'!$K$31)*($E$4:$E$253)*($F$4:$F$253)*($B$4:$B$253="base-ortho"))+SUMPRODUCT(($D$257:$D$281=AM21)*($C$257:$C$281='F0 - Données générales'!$K$31)*($B$257:$B$281="base-ortho")*($E$257:$E$281)*($F$257:$F$281)))/(SUMIFS('F3 - Relevé du personnel'!$E$4:$E$281,'F3 - Relevé du personnel'!$D$4:$D$281,$AM21,'F3 - Relevé du personnel'!$C$4:$C$281,'F0 - Données générales'!$K$31,'F3 - Relevé du personnel'!$B$4:$B$281,"base-ortho")))</f>
        <v/>
      </c>
      <c r="BA21" s="120"/>
      <c r="BB21" s="796" t="s">
        <v>79</v>
      </c>
      <c r="BC21" s="797"/>
      <c r="BD21" s="26" t="s">
        <v>92</v>
      </c>
      <c r="BE21" s="801" t="s">
        <v>93</v>
      </c>
      <c r="BF21" s="802"/>
      <c r="BG21" s="181">
        <f>SUMIFS('F3 - Relevé du personnel'!$E$4:$E$281,'F3 - Relevé du personnel'!$D$4:$D$281,$BD21,'F3 - Relevé du personnel'!$C$4:$C$281,'F0 - Données générales'!$K$31)</f>
        <v>0</v>
      </c>
      <c r="BH21" s="181">
        <f>SUMIFS('F3 - Relevé du personnel'!$H$4:$H$281,'F3 - Relevé du personnel'!$D$4:$D$281,$BD21,'F3 - Relevé du personnel'!$C$4:$C$281,'F0 - Données générales'!$K$31)</f>
        <v>0</v>
      </c>
      <c r="BI21" s="256">
        <f>SUMIFS('F3 - Relevé du personnel'!$I$4:$I$281,'F3 - Relevé du personnel'!$D$4:$D$281,$BD21,'F3 - Relevé du personnel'!$C$4:$C$281,'F0 - Données générales'!$K$31)</f>
        <v>0</v>
      </c>
      <c r="BJ21" s="256">
        <f>SUMIFS('F3 - Relevé du personnel'!$M$4:$M$281,'F3 - Relevé du personnel'!$D$4:$D$281,$BD21,'F3 - Relevé du personnel'!$C$4:$C$281,'F0 - Données générales'!$K$31)</f>
        <v>0</v>
      </c>
      <c r="BK21" s="196">
        <f t="shared" si="3"/>
        <v>0</v>
      </c>
      <c r="BL21" s="256">
        <f>SUMIFS('F3 - Relevé du personnel'!$O$4:$O$281,'F3 - Relevé du personnel'!$D$4:$D$281,$BD21,'F3 - Relevé du personnel'!$C$4:$C$281,'F0 - Données générales'!$K$31)</f>
        <v>0</v>
      </c>
      <c r="BM21" s="256">
        <f>SUMIFS('F3 - Relevé du personnel'!$P$4:$P$281,'F3 - Relevé du personnel'!$D$4:$D$281,$BD21,'F3 - Relevé du personnel'!$C$4:$C$281,'F0 - Données générales'!$K$31)</f>
        <v>0</v>
      </c>
      <c r="BN21" s="256">
        <f>SUMIFS('F3 - Relevé du personnel'!$Q$4:$Q$281,'F3 - Relevé du personnel'!$D$4:$D$281,$BD21,'F3 - Relevé du personnel'!$C$4:$C$281,'F0 - Données générales'!$K$31)</f>
        <v>0</v>
      </c>
      <c r="BO21" s="182">
        <f t="shared" si="4"/>
        <v>0</v>
      </c>
      <c r="BP21" s="197" t="str">
        <f t="shared" si="12"/>
        <v/>
      </c>
      <c r="BQ21" s="198" t="str">
        <f>IF(BG21=0,"",(SUMPRODUCT(($D$4:$D$253=BD21)*($C$4:$C$253='F0 - Données générales'!$K$31)*($E$4:$E$253)*($F$4:$F$253))+SUMPRODUCT(($D$257:$D$281=BD21)*($C$257:$C$281='F0 - Données générales'!$K$31)*($E$257:$E$281)*($F$257:$F$281)))/(SUMIFS('F3 - Relevé du personnel'!$E$4:$E$281,'F3 - Relevé du personnel'!$D$4:$D$281,$BD21,'F3 - Relevé du personnel'!$C$4:$C$281,'F0 - Données générales'!$K$31)))</f>
        <v/>
      </c>
      <c r="BR21" s="40"/>
      <c r="BS21" s="784" t="s">
        <v>79</v>
      </c>
      <c r="BT21" s="785"/>
      <c r="BU21" s="91" t="s">
        <v>231</v>
      </c>
      <c r="BV21" s="134">
        <f ca="1">SUMIF($BB$4:$BC$32,$BS21,BO$4:BO$32)</f>
        <v>0</v>
      </c>
      <c r="BW21" s="134">
        <f ca="1">SUMIF($BB$43:$BC$71,$BS21,$BN$43:$BN$71)</f>
        <v>0</v>
      </c>
      <c r="BX21" s="134">
        <f ca="1">SUMIF($BB$82:$BC$110,$BS21,$BN$82:$BN$110)</f>
        <v>0</v>
      </c>
      <c r="BY21" s="134">
        <f ca="1">SUMIF($BB$121:$BC$149,$BS21,$BN$121:$BN$149)</f>
        <v>0</v>
      </c>
      <c r="BZ21" s="96">
        <f ca="1">SUM(BV21:BY21)</f>
        <v>0</v>
      </c>
    </row>
    <row r="22" spans="1:78" x14ac:dyDescent="0.3">
      <c r="A22" s="106">
        <v>19</v>
      </c>
      <c r="B22" s="324">
        <f>'F0 - Données générales'!$C$4</f>
        <v>7</v>
      </c>
      <c r="C22" s="106" t="s">
        <v>95</v>
      </c>
      <c r="D22" s="106"/>
      <c r="E22" s="107"/>
      <c r="F22" s="108"/>
      <c r="G22" s="109"/>
      <c r="H22" s="110">
        <f t="shared" si="5"/>
        <v>0</v>
      </c>
      <c r="I22" s="177"/>
      <c r="J22" s="118" t="str">
        <f>IF(OR(D22="",F22=""),"",(((HLOOKUP(D22,'Carrières et points'!$A$20:$AD$60,F22+2,FALSE)*'Carrières et points'!$C$7*'Carrières et points'!$C$9)+(HLOOKUP(D22,'Carrières et points'!$A$20:$AD$60,F22+2,FALSE)*'Carrières et points'!$C$13*'Carrières et points'!$C$15))*(1+'F0 - Données générales'!$I$4)+((HLOOKUP(D22,'Carrières et points'!$A$20:$AD$60,F22+2,FALSE)*'Carrières et points'!$C$7*'Carrières et points'!$C$9)+(HLOOKUP(D22,'Carrières et points'!$A$20:$AD$60,F22+2,FALSE)*'Carrières et points'!$C$13*'Carrières et points'!$C$15))/12*(1+'F0 - Données générales'!$L$13))*E22)</f>
        <v/>
      </c>
      <c r="K22" s="118" t="str">
        <f t="shared" si="6"/>
        <v/>
      </c>
      <c r="L22" s="109"/>
      <c r="M22" s="177"/>
      <c r="N22" s="118" t="str">
        <f t="shared" si="0"/>
        <v/>
      </c>
      <c r="O22" s="177"/>
      <c r="P22" s="177"/>
      <c r="Q22" s="177"/>
      <c r="R22" s="255" t="str">
        <f t="shared" si="7"/>
        <v/>
      </c>
      <c r="S22" s="120"/>
      <c r="T22" s="743"/>
      <c r="U22" s="743"/>
      <c r="V22" s="749" t="s">
        <v>167</v>
      </c>
      <c r="W22" s="749"/>
      <c r="X22" s="749"/>
      <c r="Y22" s="199">
        <f>SUM(Y21:Y21)</f>
        <v>0</v>
      </c>
      <c r="Z22" s="199">
        <f>SUM(Z21:Z21)</f>
        <v>0</v>
      </c>
      <c r="AA22" s="200">
        <f>SUM(AA21:AA21)</f>
        <v>0</v>
      </c>
      <c r="AB22" s="200">
        <f>SUM(AB21:AB21)</f>
        <v>0</v>
      </c>
      <c r="AC22" s="200">
        <f t="shared" si="1"/>
        <v>0</v>
      </c>
      <c r="AD22" s="200">
        <f>SUM(AD21:AD21)</f>
        <v>0</v>
      </c>
      <c r="AE22" s="200">
        <f>SUM(AE21:AE21)</f>
        <v>0</v>
      </c>
      <c r="AF22" s="200">
        <f>SUM(AF21:AF21)</f>
        <v>0</v>
      </c>
      <c r="AG22" s="201">
        <f t="shared" si="2"/>
        <v>0</v>
      </c>
      <c r="AH22" s="201" t="str">
        <f t="shared" si="8"/>
        <v/>
      </c>
      <c r="AI22" s="202"/>
      <c r="AJ22" s="120"/>
      <c r="AK22" s="743"/>
      <c r="AL22" s="743"/>
      <c r="AM22" s="749" t="s">
        <v>167</v>
      </c>
      <c r="AN22" s="749"/>
      <c r="AO22" s="749"/>
      <c r="AP22" s="199">
        <f>SUM(AP21:AP21)</f>
        <v>0</v>
      </c>
      <c r="AQ22" s="199">
        <f>SUM(AQ21:AQ21)</f>
        <v>0</v>
      </c>
      <c r="AR22" s="200">
        <f>SUM(AR21:AR21)</f>
        <v>0</v>
      </c>
      <c r="AS22" s="200">
        <f>SUM(AS21:AS21)</f>
        <v>0</v>
      </c>
      <c r="AT22" s="200">
        <f>(AR22+AS22)</f>
        <v>0</v>
      </c>
      <c r="AU22" s="200">
        <f>SUM(AU21:AU21)</f>
        <v>0</v>
      </c>
      <c r="AV22" s="200">
        <f>SUM(AV21:AV21)</f>
        <v>0</v>
      </c>
      <c r="AW22" s="200">
        <f>SUM(AW21:AW21)</f>
        <v>0</v>
      </c>
      <c r="AX22" s="201">
        <f>AR22+AS22-SUM(AU22:AW22)</f>
        <v>0</v>
      </c>
      <c r="AY22" s="201" t="str">
        <f t="shared" si="17"/>
        <v/>
      </c>
      <c r="AZ22" s="202"/>
      <c r="BA22" s="120"/>
      <c r="BB22" s="764"/>
      <c r="BC22" s="765"/>
      <c r="BD22" s="798" t="s">
        <v>167</v>
      </c>
      <c r="BE22" s="799"/>
      <c r="BF22" s="800"/>
      <c r="BG22" s="199">
        <f>SUM(BG21:BG21)</f>
        <v>0</v>
      </c>
      <c r="BH22" s="199">
        <f>SUM(BH21:BH21)</f>
        <v>0</v>
      </c>
      <c r="BI22" s="200">
        <f>SUM(BI21:BI21)</f>
        <v>0</v>
      </c>
      <c r="BJ22" s="200">
        <f>SUM(BJ21:BJ21)</f>
        <v>0</v>
      </c>
      <c r="BK22" s="200">
        <f t="shared" si="3"/>
        <v>0</v>
      </c>
      <c r="BL22" s="200">
        <f>SUM(BL21:BL21)</f>
        <v>0</v>
      </c>
      <c r="BM22" s="200">
        <f>SUM(BM21:BM21)</f>
        <v>0</v>
      </c>
      <c r="BN22" s="200">
        <f>SUM(BN21:BN21)</f>
        <v>0</v>
      </c>
      <c r="BO22" s="201">
        <f t="shared" si="4"/>
        <v>0</v>
      </c>
      <c r="BP22" s="201" t="str">
        <f t="shared" si="12"/>
        <v/>
      </c>
      <c r="BQ22" s="202"/>
      <c r="BR22" s="40"/>
      <c r="BS22" s="792"/>
      <c r="BT22" s="793"/>
      <c r="BU22" s="97" t="s">
        <v>415</v>
      </c>
      <c r="BV22" s="135" t="str">
        <f ca="1">IF(BW4=0,"",BV21/BW4)</f>
        <v/>
      </c>
      <c r="BW22" s="135" t="str">
        <f ca="1">IF(BX4=0,"",BW21/BX4)</f>
        <v/>
      </c>
      <c r="BX22" s="135" t="str">
        <f ca="1">IF(BY4=0,"",BX21/BY4)</f>
        <v/>
      </c>
      <c r="BY22" s="135" t="str">
        <f ca="1">IF(BZ4=0,"",BY21/BZ4)</f>
        <v/>
      </c>
      <c r="BZ22" s="98" t="str">
        <f ca="1">IF(CA4=0,"",BZ21/CA4)</f>
        <v/>
      </c>
    </row>
    <row r="23" spans="1:78" x14ac:dyDescent="0.3">
      <c r="A23" s="106">
        <v>20</v>
      </c>
      <c r="B23" s="324">
        <f>'F0 - Données générales'!$C$4</f>
        <v>7</v>
      </c>
      <c r="C23" s="106" t="s">
        <v>95</v>
      </c>
      <c r="D23" s="106"/>
      <c r="E23" s="107"/>
      <c r="F23" s="108"/>
      <c r="G23" s="109"/>
      <c r="H23" s="110">
        <f t="shared" si="5"/>
        <v>0</v>
      </c>
      <c r="I23" s="177"/>
      <c r="J23" s="118" t="str">
        <f>IF(OR(D23="",F23=""),"",(((HLOOKUP(D23,'Carrières et points'!$A$20:$AD$60,F23+2,FALSE)*'Carrières et points'!$C$7*'Carrières et points'!$C$9)+(HLOOKUP(D23,'Carrières et points'!$A$20:$AD$60,F23+2,FALSE)*'Carrières et points'!$C$13*'Carrières et points'!$C$15))*(1+'F0 - Données générales'!$I$4)+((HLOOKUP(D23,'Carrières et points'!$A$20:$AD$60,F23+2,FALSE)*'Carrières et points'!$C$7*'Carrières et points'!$C$9)+(HLOOKUP(D23,'Carrières et points'!$A$20:$AD$60,F23+2,FALSE)*'Carrières et points'!$C$13*'Carrières et points'!$C$15))/12*(1+'F0 - Données générales'!$L$13))*E23)</f>
        <v/>
      </c>
      <c r="K23" s="118" t="str">
        <f t="shared" si="6"/>
        <v/>
      </c>
      <c r="L23" s="109"/>
      <c r="M23" s="177"/>
      <c r="N23" s="118" t="str">
        <f t="shared" si="0"/>
        <v/>
      </c>
      <c r="O23" s="177"/>
      <c r="P23" s="177"/>
      <c r="Q23" s="177"/>
      <c r="R23" s="255" t="str">
        <f t="shared" si="7"/>
        <v/>
      </c>
      <c r="S23" s="120"/>
      <c r="T23" s="742" t="s">
        <v>79</v>
      </c>
      <c r="U23" s="742"/>
      <c r="V23" s="26" t="s">
        <v>96</v>
      </c>
      <c r="W23" s="741"/>
      <c r="X23" s="741"/>
      <c r="Y23" s="181">
        <f>SUMIFS('F3 - Relevé du personnel'!$E$4:$E$281,'F3 - Relevé du personnel'!$D$4:$D$281,$V23,'F3 - Relevé du personnel'!$C$4:$C$281,'F0 - Données générales'!$K$31,'F3 - Relevé du personnel'!$B$4:$B$281,7)</f>
        <v>0</v>
      </c>
      <c r="Z23" s="181">
        <f>SUMIFS('F3 - Relevé du personnel'!$H$4:$H$281,'F3 - Relevé du personnel'!$D$4:$D$281,$V23,'F3 - Relevé du personnel'!$C$4:$C$281,'F0 - Données générales'!$K$31,'F3 - Relevé du personnel'!$B$4:$B$281,7)</f>
        <v>0</v>
      </c>
      <c r="AA23" s="256">
        <f>SUMIFS('F3 - Relevé du personnel'!$I$4:$I$281,'F3 - Relevé du personnel'!$D$4:$D$281,$V23,'F3 - Relevé du personnel'!$C$4:$C$281,'F0 - Données générales'!$K$31,'F3 - Relevé du personnel'!$B$4:$B$281,7)</f>
        <v>0</v>
      </c>
      <c r="AB23" s="256">
        <f>SUMIFS('F3 - Relevé du personnel'!$M$4:$M$281,'F3 - Relevé du personnel'!$D$4:$D$281,$V23,'F3 - Relevé du personnel'!$C$4:$C$281,'F0 - Données générales'!$K$31,'F3 - Relevé du personnel'!$B$4:$B$281,7)</f>
        <v>0</v>
      </c>
      <c r="AC23" s="196">
        <f t="shared" si="1"/>
        <v>0</v>
      </c>
      <c r="AD23" s="256">
        <f>SUMIFS('F3 - Relevé du personnel'!$O$4:$O$281,'F3 - Relevé du personnel'!$D$4:$D$281,$V23,'F3 - Relevé du personnel'!$C$4:$C$281,'F0 - Données générales'!$K$31,'F3 - Relevé du personnel'!$B$4:$B$281,7)</f>
        <v>0</v>
      </c>
      <c r="AE23" s="256">
        <f>SUMIFS('F3 - Relevé du personnel'!$P$4:$P$281,'F3 - Relevé du personnel'!$D$4:$D$281,$V23,'F3 - Relevé du personnel'!$C$4:$C$281,'F0 - Données générales'!$K$31,'F3 - Relevé du personnel'!$B$4:$B$281,7)</f>
        <v>0</v>
      </c>
      <c r="AF23" s="256">
        <f>SUMIFS('F3 - Relevé du personnel'!$Q$4:$Q$281,'F3 - Relevé du personnel'!$D$4:$D$281,$V23,'F3 - Relevé du personnel'!$C$4:$C$281,'F0 - Données générales'!$K$31,'F3 - Relevé du personnel'!$B$4:$B$281,7)</f>
        <v>0</v>
      </c>
      <c r="AG23" s="182">
        <f t="shared" si="2"/>
        <v>0</v>
      </c>
      <c r="AH23" s="197" t="str">
        <f t="shared" si="8"/>
        <v/>
      </c>
      <c r="AI23" s="198" t="str">
        <f>IF(Y23=0,"",(SUMPRODUCT(($D$4:$D$253=V23)*($C$4:$C$253='F0 - Données générales'!$K$31)*($E$4:$E$253)*($F$4:$F$253)*($B$4:$B$253=7))+SUMPRODUCT(($D$257:$D$281=V23)*($C$257:$C$281='F0 - Données générales'!$K$31)*($B$257:$B$281=7)*($E$257:$E$281)*($F$257:$F$281)))/(SUMIFS('F3 - Relevé du personnel'!$E$4:$E$281,'F3 - Relevé du personnel'!$D$4:$D$281,$V23,'F3 - Relevé du personnel'!$C$4:$C$281,'F0 - Données générales'!$K$31,'F3 - Relevé du personnel'!$B$4:$B$281,7)))</f>
        <v/>
      </c>
      <c r="AJ23" s="120"/>
      <c r="AK23" s="742" t="s">
        <v>79</v>
      </c>
      <c r="AL23" s="742"/>
      <c r="AM23" s="26" t="s">
        <v>96</v>
      </c>
      <c r="AN23" s="741"/>
      <c r="AO23" s="741"/>
      <c r="AP23" s="181">
        <f>SUMIFS('F3 - Relevé du personnel'!$E$4:$E$281,'F3 - Relevé du personnel'!$D$4:$D$281,$AM23,'F3 - Relevé du personnel'!$C$4:$C$281,'F0 - Données générales'!$K$31,'F3 - Relevé du personnel'!$B$4:$B$281,"base-ortho")</f>
        <v>0</v>
      </c>
      <c r="AQ23" s="181">
        <f>SUMIFS('F3 - Relevé du personnel'!$H$4:$H$281,'F3 - Relevé du personnel'!$D$4:$D$281,$AM23,'F3 - Relevé du personnel'!$C$4:$C$281,'F0 - Données générales'!$K$31,'F3 - Relevé du personnel'!$B$4:$B$281,"base-ortho")</f>
        <v>0</v>
      </c>
      <c r="AR23" s="256">
        <f>SUMIFS('F3 - Relevé du personnel'!$I$4:$I$281,'F3 - Relevé du personnel'!$D$4:$D$281,$AM23,'F3 - Relevé du personnel'!$C$4:$C$281,'F0 - Données générales'!$K$31,'F3 - Relevé du personnel'!$B$4:$B$281,"base-ortho")</f>
        <v>0</v>
      </c>
      <c r="AS23" s="256">
        <f>SUMIFS('F3 - Relevé du personnel'!$M$4:$M$281,'F3 - Relevé du personnel'!$D$4:$D$281,$AM23,'F3 - Relevé du personnel'!$C$4:$C$281,'F0 - Données générales'!$K$31,'F3 - Relevé du personnel'!$B$4:$B$281,"base-ortho")</f>
        <v>0</v>
      </c>
      <c r="AT23" s="196">
        <f t="shared" ref="AT23:AT32" si="21">(AR23+AS23)</f>
        <v>0</v>
      </c>
      <c r="AU23" s="256">
        <f>SUMIFS('F3 - Relevé du personnel'!$O$4:$O$281,'F3 - Relevé du personnel'!$D$4:$D$281,$AM23,'F3 - Relevé du personnel'!$C$4:$C$281,'F0 - Données générales'!$K$31,'F3 - Relevé du personnel'!$B$4:$B$281,"base-ortho")</f>
        <v>0</v>
      </c>
      <c r="AV23" s="256">
        <f>SUMIFS('F3 - Relevé du personnel'!$P$4:$P$281,'F3 - Relevé du personnel'!$D$4:$D$281,$AM23,'F3 - Relevé du personnel'!$C$4:$C$281,'F0 - Données générales'!$K$31,'F3 - Relevé du personnel'!$B$4:$B$281,"base-ortho")</f>
        <v>0</v>
      </c>
      <c r="AW23" s="256">
        <f>SUMIFS('F3 - Relevé du personnel'!$Q$4:$Q$281,'F3 - Relevé du personnel'!$D$4:$D$281,$AM23,'F3 - Relevé du personnel'!$C$4:$C$281,'F0 - Données générales'!$K$31,'F3 - Relevé du personnel'!$B$4:$B$281,"base-ortho")</f>
        <v>0</v>
      </c>
      <c r="AX23" s="182">
        <f t="shared" ref="AX23:AX32" si="22">AR23+AS23-SUM(AU23:AW23)</f>
        <v>0</v>
      </c>
      <c r="AY23" s="197" t="str">
        <f t="shared" si="17"/>
        <v/>
      </c>
      <c r="AZ23" s="198" t="str">
        <f>IF(AP23=0,"",(SUMPRODUCT(($D$4:$D$253=AM23)*($C$4:$C$253='F0 - Données générales'!$K$31)*($E$4:$E$253)*($F$4:$F$253)*($B$4:$B$253="base-ortho"))+SUMPRODUCT(($D$257:$D$281=AM23)*($C$257:$C$281='F0 - Données générales'!$K$31)*($B$257:$B$281="base-ortho")*($E$257:$E$281)*($F$257:$F$281)))/(SUMIFS('F3 - Relevé du personnel'!$E$4:$E$281,'F3 - Relevé du personnel'!$D$4:$D$281,$AM23,'F3 - Relevé du personnel'!$C$4:$C$281,'F0 - Données générales'!$K$31,'F3 - Relevé du personnel'!$B$4:$B$281,"base-ortho")))</f>
        <v/>
      </c>
      <c r="BA23" s="120"/>
      <c r="BB23" s="796" t="s">
        <v>79</v>
      </c>
      <c r="BC23" s="797"/>
      <c r="BD23" s="26" t="s">
        <v>96</v>
      </c>
      <c r="BE23" s="801"/>
      <c r="BF23" s="802"/>
      <c r="BG23" s="181">
        <f>SUMIFS('F3 - Relevé du personnel'!$E$4:$E$281,'F3 - Relevé du personnel'!$D$4:$D$281,$BD23,'F3 - Relevé du personnel'!$C$4:$C$281,'F0 - Données générales'!$K$31)</f>
        <v>0</v>
      </c>
      <c r="BH23" s="181">
        <f>SUMIFS('F3 - Relevé du personnel'!$H$4:$H$281,'F3 - Relevé du personnel'!$D$4:$D$281,$BD23,'F3 - Relevé du personnel'!$C$4:$C$281,'F0 - Données générales'!$K$31)</f>
        <v>0</v>
      </c>
      <c r="BI23" s="256">
        <f>SUMIFS('F3 - Relevé du personnel'!$I$4:$I$281,'F3 - Relevé du personnel'!$D$4:$D$281,$BD23,'F3 - Relevé du personnel'!$C$4:$C$281,'F0 - Données générales'!$K$31)</f>
        <v>0</v>
      </c>
      <c r="BJ23" s="256">
        <f>SUMIFS('F3 - Relevé du personnel'!$M$4:$M$281,'F3 - Relevé du personnel'!$D$4:$D$281,$BD23,'F3 - Relevé du personnel'!$C$4:$C$281,'F0 - Données générales'!$K$31)</f>
        <v>0</v>
      </c>
      <c r="BK23" s="196">
        <f t="shared" si="3"/>
        <v>0</v>
      </c>
      <c r="BL23" s="256">
        <f>SUMIFS('F3 - Relevé du personnel'!$O$4:$O$281,'F3 - Relevé du personnel'!$D$4:$D$281,$BD23,'F3 - Relevé du personnel'!$C$4:$C$281,'F0 - Données générales'!$K$31)</f>
        <v>0</v>
      </c>
      <c r="BM23" s="256">
        <f>SUMIFS('F3 - Relevé du personnel'!$P$4:$P$281,'F3 - Relevé du personnel'!$D$4:$D$281,$BD23,'F3 - Relevé du personnel'!$C$4:$C$281,'F0 - Données générales'!$K$31)</f>
        <v>0</v>
      </c>
      <c r="BN23" s="256">
        <f>SUMIFS('F3 - Relevé du personnel'!$Q$4:$Q$281,'F3 - Relevé du personnel'!$D$4:$D$281,$BD23,'F3 - Relevé du personnel'!$C$4:$C$281,'F0 - Données générales'!$K$31)</f>
        <v>0</v>
      </c>
      <c r="BO23" s="182">
        <f t="shared" si="4"/>
        <v>0</v>
      </c>
      <c r="BP23" s="197" t="str">
        <f t="shared" si="12"/>
        <v/>
      </c>
      <c r="BQ23" s="198" t="str">
        <f>IF(BG23=0,"",(SUMPRODUCT(($D$4:$D$253=BD23)*($C$4:$C$253='F0 - Données générales'!$K$31)*($E$4:$E$253)*($F$4:$F$253))+SUMPRODUCT(($D$257:$D$281=BD23)*($C$257:$C$281='F0 - Données générales'!$K$31)*($E$257:$E$281)*($F$257:$F$281)))/(SUMIFS('F3 - Relevé du personnel'!$E$4:$E$281,'F3 - Relevé du personnel'!$D$4:$D$281,$BD23,'F3 - Relevé du personnel'!$C$4:$C$281,'F0 - Données générales'!$K$31)))</f>
        <v/>
      </c>
      <c r="BR23" s="40"/>
      <c r="BS23" s="786"/>
      <c r="BT23" s="787"/>
      <c r="BU23" s="95" t="s">
        <v>232</v>
      </c>
      <c r="BV23" s="136" t="e">
        <f ca="1">IF('F0 - Données générales'!$H$5="","",IF('F0 - Données générales'!$H$5="horaire",BV21/'F2 - Données facturation'!$AA$20,IF('F0 - Données générales'!$H$5="journalier",BV21/'F2 - Données facturation'!$Y$30)))</f>
        <v>#DIV/0!</v>
      </c>
      <c r="BW23" s="136" t="e">
        <f ca="1">IF('F0 - Données générales'!$H$5="","",IF('F0 - Données générales'!$H$5="horaire",BW21/'F2 - Données facturation'!$AA$20,IF('F0 - Données générales'!$H$5="journalier",BW21/'F2 - Données facturation'!$Y$30)))</f>
        <v>#DIV/0!</v>
      </c>
      <c r="BX23" s="136" t="e">
        <f ca="1">IF('F0 - Données générales'!$H$5="","",IF('F0 - Données générales'!$H$5="horaire",BX21/'F2 - Données facturation'!$AA$20,IF('F0 - Données générales'!$H$5="journalier",BX21/'F2 - Données facturation'!$Y$30)))</f>
        <v>#DIV/0!</v>
      </c>
      <c r="BY23" s="136" t="e">
        <f ca="1">IF('F0 - Données générales'!$H$5="","",IF('F0 - Données générales'!$H$5="horaire",BY21/'F2 - Données facturation'!$AA$20,IF('F0 - Données générales'!$H$5="journalier",BY21/'F2 - Données facturation'!$Y$30)))</f>
        <v>#DIV/0!</v>
      </c>
      <c r="BZ23" s="99" t="e">
        <f ca="1">IF('F0 - Données générales'!$H$5="","",IF('F0 - Données générales'!$H$5="horaire",BZ21/'F2 - Données facturation'!$AA$20,IF('F0 - Données générales'!$H$5="journalier",BZ21/'F2 - Données facturation'!$Y$30)))</f>
        <v>#DIV/0!</v>
      </c>
    </row>
    <row r="24" spans="1:78" x14ac:dyDescent="0.3">
      <c r="A24" s="106">
        <v>21</v>
      </c>
      <c r="B24" s="324">
        <f>'F0 - Données générales'!$C$4</f>
        <v>7</v>
      </c>
      <c r="C24" s="106" t="s">
        <v>95</v>
      </c>
      <c r="D24" s="106"/>
      <c r="E24" s="107"/>
      <c r="F24" s="108"/>
      <c r="G24" s="109"/>
      <c r="H24" s="110">
        <f t="shared" si="5"/>
        <v>0</v>
      </c>
      <c r="I24" s="177"/>
      <c r="J24" s="118" t="str">
        <f>IF(OR(D24="",F24=""),"",(((HLOOKUP(D24,'Carrières et points'!$A$20:$AD$60,F24+2,FALSE)*'Carrières et points'!$C$7*'Carrières et points'!$C$9)+(HLOOKUP(D24,'Carrières et points'!$A$20:$AD$60,F24+2,FALSE)*'Carrières et points'!$C$13*'Carrières et points'!$C$15))*(1+'F0 - Données générales'!$I$4)+((HLOOKUP(D24,'Carrières et points'!$A$20:$AD$60,F24+2,FALSE)*'Carrières et points'!$C$7*'Carrières et points'!$C$9)+(HLOOKUP(D24,'Carrières et points'!$A$20:$AD$60,F24+2,FALSE)*'Carrières et points'!$C$13*'Carrières et points'!$C$15))/12*(1+'F0 - Données générales'!$L$13))*E24)</f>
        <v/>
      </c>
      <c r="K24" s="118" t="str">
        <f t="shared" si="6"/>
        <v/>
      </c>
      <c r="L24" s="109"/>
      <c r="M24" s="177"/>
      <c r="N24" s="118" t="str">
        <f t="shared" si="0"/>
        <v/>
      </c>
      <c r="O24" s="177"/>
      <c r="P24" s="177"/>
      <c r="Q24" s="177"/>
      <c r="R24" s="255" t="str">
        <f t="shared" si="7"/>
        <v/>
      </c>
      <c r="S24" s="120"/>
      <c r="T24" s="742" t="s">
        <v>79</v>
      </c>
      <c r="U24" s="742"/>
      <c r="V24" s="26" t="s">
        <v>277</v>
      </c>
      <c r="W24" s="741"/>
      <c r="X24" s="741"/>
      <c r="Y24" s="181">
        <f>SUMIFS('F3 - Relevé du personnel'!$E$4:$E$281,'F3 - Relevé du personnel'!$D$4:$D$281,$V24,'F3 - Relevé du personnel'!$C$4:$C$281,'F0 - Données générales'!$K$31,'F3 - Relevé du personnel'!$B$4:$B$281,7)</f>
        <v>0</v>
      </c>
      <c r="Z24" s="181">
        <f>SUMIFS('F3 - Relevé du personnel'!$H$4:$H$281,'F3 - Relevé du personnel'!$D$4:$D$281,$V24,'F3 - Relevé du personnel'!$C$4:$C$281,'F0 - Données générales'!$K$31,'F3 - Relevé du personnel'!$B$4:$B$281,7)</f>
        <v>0</v>
      </c>
      <c r="AA24" s="256">
        <f>SUMIFS('F3 - Relevé du personnel'!$I$4:$I$281,'F3 - Relevé du personnel'!$D$4:$D$281,$V24,'F3 - Relevé du personnel'!$C$4:$C$281,'F0 - Données générales'!$K$31,'F3 - Relevé du personnel'!$B$4:$B$281,7)</f>
        <v>0</v>
      </c>
      <c r="AB24" s="256">
        <f>SUMIFS('F3 - Relevé du personnel'!$M$4:$M$281,'F3 - Relevé du personnel'!$D$4:$D$281,$V24,'F3 - Relevé du personnel'!$C$4:$C$281,'F0 - Données générales'!$K$31,'F3 - Relevé du personnel'!$B$4:$B$281,7)</f>
        <v>0</v>
      </c>
      <c r="AC24" s="196">
        <f t="shared" si="1"/>
        <v>0</v>
      </c>
      <c r="AD24" s="256">
        <f>SUMIFS('F3 - Relevé du personnel'!$O$4:$O$281,'F3 - Relevé du personnel'!$D$4:$D$281,$V24,'F3 - Relevé du personnel'!$C$4:$C$281,'F0 - Données générales'!$K$31,'F3 - Relevé du personnel'!$B$4:$B$281,7)</f>
        <v>0</v>
      </c>
      <c r="AE24" s="256">
        <f>SUMIFS('F3 - Relevé du personnel'!$P$4:$P$281,'F3 - Relevé du personnel'!$D$4:$D$281,$V24,'F3 - Relevé du personnel'!$C$4:$C$281,'F0 - Données générales'!$K$31,'F3 - Relevé du personnel'!$B$4:$B$281,7)</f>
        <v>0</v>
      </c>
      <c r="AF24" s="256">
        <f>SUMIFS('F3 - Relevé du personnel'!$Q$4:$Q$281,'F3 - Relevé du personnel'!$D$4:$D$281,$V24,'F3 - Relevé du personnel'!$C$4:$C$281,'F0 - Données générales'!$K$31,'F3 - Relevé du personnel'!$B$4:$B$281,7)</f>
        <v>0</v>
      </c>
      <c r="AG24" s="182">
        <f t="shared" si="2"/>
        <v>0</v>
      </c>
      <c r="AH24" s="197" t="str">
        <f t="shared" si="8"/>
        <v/>
      </c>
      <c r="AI24" s="198" t="str">
        <f>IF(Y24=0,"",(SUMPRODUCT(($D$4:$D$253=V24)*($C$4:$C$253='F0 - Données générales'!$K$31)*($E$4:$E$253)*($F$4:$F$253)*($B$4:$B$253=7))+SUMPRODUCT(($D$257:$D$281=V24)*($C$257:$C$281='F0 - Données générales'!$K$31)*($B$257:$B$281=7)*($E$257:$E$281)*($F$257:$F$281)))/(SUMIFS('F3 - Relevé du personnel'!$E$4:$E$281,'F3 - Relevé du personnel'!$D$4:$D$281,$V24,'F3 - Relevé du personnel'!$C$4:$C$281,'F0 - Données générales'!$K$31,'F3 - Relevé du personnel'!$B$4:$B$281,7)))</f>
        <v/>
      </c>
      <c r="AJ24" s="120"/>
      <c r="AK24" s="742" t="s">
        <v>79</v>
      </c>
      <c r="AL24" s="742"/>
      <c r="AM24" s="26" t="s">
        <v>277</v>
      </c>
      <c r="AN24" s="741"/>
      <c r="AO24" s="741"/>
      <c r="AP24" s="181">
        <f>SUMIFS('F3 - Relevé du personnel'!$E$4:$E$281,'F3 - Relevé du personnel'!$D$4:$D$281,$AM24,'F3 - Relevé du personnel'!$C$4:$C$281,'F0 - Données générales'!$K$31,'F3 - Relevé du personnel'!$B$4:$B$281,"base-ortho")</f>
        <v>0</v>
      </c>
      <c r="AQ24" s="181">
        <f>SUMIFS('F3 - Relevé du personnel'!$H$4:$H$281,'F3 - Relevé du personnel'!$D$4:$D$281,$AM24,'F3 - Relevé du personnel'!$C$4:$C$281,'F0 - Données générales'!$K$31,'F3 - Relevé du personnel'!$B$4:$B$281,"base-ortho")</f>
        <v>0</v>
      </c>
      <c r="AR24" s="256">
        <f>SUMIFS('F3 - Relevé du personnel'!$I$4:$I$281,'F3 - Relevé du personnel'!$D$4:$D$281,$AM24,'F3 - Relevé du personnel'!$C$4:$C$281,'F0 - Données générales'!$K$31,'F3 - Relevé du personnel'!$B$4:$B$281,"base-ortho")</f>
        <v>0</v>
      </c>
      <c r="AS24" s="256">
        <f>SUMIFS('F3 - Relevé du personnel'!$M$4:$M$281,'F3 - Relevé du personnel'!$D$4:$D$281,$AM24,'F3 - Relevé du personnel'!$C$4:$C$281,'F0 - Données générales'!$K$31,'F3 - Relevé du personnel'!$B$4:$B$281,"base-ortho")</f>
        <v>0</v>
      </c>
      <c r="AT24" s="196">
        <f t="shared" si="21"/>
        <v>0</v>
      </c>
      <c r="AU24" s="256">
        <f>SUMIFS('F3 - Relevé du personnel'!$O$4:$O$281,'F3 - Relevé du personnel'!$D$4:$D$281,$AM24,'F3 - Relevé du personnel'!$C$4:$C$281,'F0 - Données générales'!$K$31,'F3 - Relevé du personnel'!$B$4:$B$281,"base-ortho")</f>
        <v>0</v>
      </c>
      <c r="AV24" s="256">
        <f>SUMIFS('F3 - Relevé du personnel'!$P$4:$P$281,'F3 - Relevé du personnel'!$D$4:$D$281,$AM24,'F3 - Relevé du personnel'!$C$4:$C$281,'F0 - Données générales'!$K$31,'F3 - Relevé du personnel'!$B$4:$B$281,"base-ortho")</f>
        <v>0</v>
      </c>
      <c r="AW24" s="256">
        <f>SUMIFS('F3 - Relevé du personnel'!$Q$4:$Q$281,'F3 - Relevé du personnel'!$D$4:$D$281,$AM24,'F3 - Relevé du personnel'!$C$4:$C$281,'F0 - Données générales'!$K$31,'F3 - Relevé du personnel'!$B$4:$B$281,"base-ortho")</f>
        <v>0</v>
      </c>
      <c r="AX24" s="182">
        <f t="shared" si="22"/>
        <v>0</v>
      </c>
      <c r="AY24" s="197" t="str">
        <f t="shared" si="17"/>
        <v/>
      </c>
      <c r="AZ24" s="198" t="str">
        <f>IF(AP24=0,"",(SUMPRODUCT(($D$4:$D$253=AM24)*($C$4:$C$253='F0 - Données générales'!$K$31)*($E$4:$E$253)*($F$4:$F$253)*($B$4:$B$253="base-ortho"))+SUMPRODUCT(($D$257:$D$281=AM24)*($C$257:$C$281='F0 - Données générales'!$K$31)*($B$257:$B$281="base-ortho")*($E$257:$E$281)*($F$257:$F$281)))/(SUMIFS('F3 - Relevé du personnel'!$E$4:$E$281,'F3 - Relevé du personnel'!$D$4:$D$281,$AM24,'F3 - Relevé du personnel'!$C$4:$C$281,'F0 - Données générales'!$K$31,'F3 - Relevé du personnel'!$B$4:$B$281,"base-ortho")))</f>
        <v/>
      </c>
      <c r="BA24" s="120"/>
      <c r="BB24" s="796" t="s">
        <v>79</v>
      </c>
      <c r="BC24" s="797"/>
      <c r="BD24" s="26" t="s">
        <v>277</v>
      </c>
      <c r="BE24" s="801"/>
      <c r="BF24" s="802"/>
      <c r="BG24" s="181">
        <f>SUMIFS('F3 - Relevé du personnel'!$E$4:$E$281,'F3 - Relevé du personnel'!$D$4:$D$281,$BD24,'F3 - Relevé du personnel'!$C$4:$C$281,'F0 - Données générales'!$K$31)</f>
        <v>0</v>
      </c>
      <c r="BH24" s="181">
        <f>SUMIFS('F3 - Relevé du personnel'!$H$4:$H$281,'F3 - Relevé du personnel'!$D$4:$D$281,$BD24,'F3 - Relevé du personnel'!$C$4:$C$281,'F0 - Données générales'!$K$31)</f>
        <v>0</v>
      </c>
      <c r="BI24" s="256">
        <f>SUMIFS('F3 - Relevé du personnel'!$I$4:$I$281,'F3 - Relevé du personnel'!$D$4:$D$281,$BD24,'F3 - Relevé du personnel'!$C$4:$C$281,'F0 - Données générales'!$K$31)</f>
        <v>0</v>
      </c>
      <c r="BJ24" s="256">
        <f>SUMIFS('F3 - Relevé du personnel'!$M$4:$M$281,'F3 - Relevé du personnel'!$D$4:$D$281,$BD24,'F3 - Relevé du personnel'!$C$4:$C$281,'F0 - Données générales'!$K$31)</f>
        <v>0</v>
      </c>
      <c r="BK24" s="196">
        <f t="shared" si="3"/>
        <v>0</v>
      </c>
      <c r="BL24" s="256">
        <f>SUMIFS('F3 - Relevé du personnel'!$O$4:$O$281,'F3 - Relevé du personnel'!$D$4:$D$281,$BD24,'F3 - Relevé du personnel'!$C$4:$C$281,'F0 - Données générales'!$K$31)</f>
        <v>0</v>
      </c>
      <c r="BM24" s="256">
        <f>SUMIFS('F3 - Relevé du personnel'!$P$4:$P$281,'F3 - Relevé du personnel'!$D$4:$D$281,$BD24,'F3 - Relevé du personnel'!$C$4:$C$281,'F0 - Données générales'!$K$31)</f>
        <v>0</v>
      </c>
      <c r="BN24" s="256">
        <f>SUMIFS('F3 - Relevé du personnel'!$Q$4:$Q$281,'F3 - Relevé du personnel'!$D$4:$D$281,$BD24,'F3 - Relevé du personnel'!$C$4:$C$281,'F0 - Données générales'!$K$31)</f>
        <v>0</v>
      </c>
      <c r="BO24" s="182">
        <f t="shared" si="4"/>
        <v>0</v>
      </c>
      <c r="BP24" s="197" t="str">
        <f t="shared" si="12"/>
        <v/>
      </c>
      <c r="BQ24" s="198" t="str">
        <f>IF(BG24=0,"",(SUMPRODUCT(($D$4:$D$253=BD24)*($C$4:$C$253='F0 - Données générales'!$K$31)*($E$4:$E$253)*($F$4:$F$253))+SUMPRODUCT(($D$257:$D$281=BD24)*($C$257:$C$281='F0 - Données générales'!$K$31)*($E$257:$E$281)*($F$257:$F$281)))/(SUMIFS('F3 - Relevé du personnel'!$E$4:$E$281,'F3 - Relevé du personnel'!$D$4:$D$281,$BD24,'F3 - Relevé du personnel'!$C$4:$C$281,'F0 - Données générales'!$K$31)))</f>
        <v/>
      </c>
      <c r="BR24" s="40"/>
      <c r="BS24" s="784" t="s">
        <v>65</v>
      </c>
      <c r="BT24" s="785"/>
      <c r="BU24" s="91" t="s">
        <v>231</v>
      </c>
      <c r="BV24" s="134">
        <f ca="1">SUMIF($BB$4:$BC$32,$BS24,BO$4:BO$32)</f>
        <v>0</v>
      </c>
      <c r="BW24" s="134">
        <f ca="1">SUMIF($BB$43:$BC$71,$BS24,$BN$43:$BN$71)</f>
        <v>0</v>
      </c>
      <c r="BX24" s="134">
        <f ca="1">SUMIF($BB$82:$BC$110,$BS24,$BN$82:$BN$110)</f>
        <v>0</v>
      </c>
      <c r="BY24" s="134">
        <f ca="1">SUMIF($BB$121:$BC$149,$BS24,$BN$121:$BN$149)</f>
        <v>0</v>
      </c>
      <c r="BZ24" s="96">
        <f ca="1">SUM(BV24:BY24)</f>
        <v>0</v>
      </c>
    </row>
    <row r="25" spans="1:78" x14ac:dyDescent="0.3">
      <c r="A25" s="106">
        <v>22</v>
      </c>
      <c r="B25" s="324">
        <f>'F0 - Données générales'!$C$4</f>
        <v>7</v>
      </c>
      <c r="C25" s="106" t="s">
        <v>95</v>
      </c>
      <c r="D25" s="106"/>
      <c r="E25" s="107"/>
      <c r="F25" s="108"/>
      <c r="G25" s="109"/>
      <c r="H25" s="110">
        <f t="shared" si="5"/>
        <v>0</v>
      </c>
      <c r="I25" s="177"/>
      <c r="J25" s="118" t="str">
        <f>IF(OR(D25="",F25=""),"",(((HLOOKUP(D25,'Carrières et points'!$A$20:$AD$60,F25+2,FALSE)*'Carrières et points'!$C$7*'Carrières et points'!$C$9)+(HLOOKUP(D25,'Carrières et points'!$A$20:$AD$60,F25+2,FALSE)*'Carrières et points'!$C$13*'Carrières et points'!$C$15))*(1+'F0 - Données générales'!$I$4)+((HLOOKUP(D25,'Carrières et points'!$A$20:$AD$60,F25+2,FALSE)*'Carrières et points'!$C$7*'Carrières et points'!$C$9)+(HLOOKUP(D25,'Carrières et points'!$A$20:$AD$60,F25+2,FALSE)*'Carrières et points'!$C$13*'Carrières et points'!$C$15))/12*(1+'F0 - Données générales'!$L$13))*E25)</f>
        <v/>
      </c>
      <c r="K25" s="118" t="str">
        <f t="shared" si="6"/>
        <v/>
      </c>
      <c r="L25" s="109"/>
      <c r="M25" s="177"/>
      <c r="N25" s="118" t="str">
        <f t="shared" si="0"/>
        <v/>
      </c>
      <c r="O25" s="177"/>
      <c r="P25" s="177"/>
      <c r="Q25" s="177"/>
      <c r="R25" s="255" t="str">
        <f t="shared" si="7"/>
        <v/>
      </c>
      <c r="S25" s="120"/>
      <c r="T25" s="742" t="s">
        <v>65</v>
      </c>
      <c r="U25" s="742"/>
      <c r="V25" s="26" t="s">
        <v>278</v>
      </c>
      <c r="W25" s="741"/>
      <c r="X25" s="741"/>
      <c r="Y25" s="181">
        <f>SUMIFS('F3 - Relevé du personnel'!$E$4:$E$281,'F3 - Relevé du personnel'!$D$4:$D$281,$V25,'F3 - Relevé du personnel'!$C$4:$C$281,'F0 - Données générales'!$K$31,'F3 - Relevé du personnel'!$B$4:$B$281,7)</f>
        <v>0</v>
      </c>
      <c r="Z25" s="181">
        <f>SUMIFS('F3 - Relevé du personnel'!$H$4:$H$281,'F3 - Relevé du personnel'!$D$4:$D$281,$V25,'F3 - Relevé du personnel'!$C$4:$C$281,'F0 - Données générales'!$K$31,'F3 - Relevé du personnel'!$B$4:$B$281,7)</f>
        <v>0</v>
      </c>
      <c r="AA25" s="256">
        <f>SUMIFS('F3 - Relevé du personnel'!$I$4:$I$281,'F3 - Relevé du personnel'!$D$4:$D$281,$V25,'F3 - Relevé du personnel'!$C$4:$C$281,'F0 - Données générales'!$K$31,'F3 - Relevé du personnel'!$B$4:$B$281,7)</f>
        <v>0</v>
      </c>
      <c r="AB25" s="256">
        <f>SUMIFS('F3 - Relevé du personnel'!$M$4:$M$281,'F3 - Relevé du personnel'!$D$4:$D$281,$V25,'F3 - Relevé du personnel'!$C$4:$C$281,'F0 - Données générales'!$K$31,'F3 - Relevé du personnel'!$B$4:$B$281,7)</f>
        <v>0</v>
      </c>
      <c r="AC25" s="196">
        <f t="shared" si="1"/>
        <v>0</v>
      </c>
      <c r="AD25" s="256">
        <f>SUMIFS('F3 - Relevé du personnel'!$O$4:$O$281,'F3 - Relevé du personnel'!$D$4:$D$281,$V25,'F3 - Relevé du personnel'!$C$4:$C$281,'F0 - Données générales'!$K$31,'F3 - Relevé du personnel'!$B$4:$B$281,7)</f>
        <v>0</v>
      </c>
      <c r="AE25" s="256">
        <f>SUMIFS('F3 - Relevé du personnel'!$P$4:$P$281,'F3 - Relevé du personnel'!$D$4:$D$281,$V25,'F3 - Relevé du personnel'!$C$4:$C$281,'F0 - Données générales'!$K$31,'F3 - Relevé du personnel'!$B$4:$B$281,7)</f>
        <v>0</v>
      </c>
      <c r="AF25" s="256">
        <f>SUMIFS('F3 - Relevé du personnel'!$Q$4:$Q$281,'F3 - Relevé du personnel'!$D$4:$D$281,$V25,'F3 - Relevé du personnel'!$C$4:$C$281,'F0 - Données générales'!$K$31,'F3 - Relevé du personnel'!$B$4:$B$281,7)</f>
        <v>0</v>
      </c>
      <c r="AG25" s="182">
        <f t="shared" si="2"/>
        <v>0</v>
      </c>
      <c r="AH25" s="197" t="str">
        <f t="shared" si="8"/>
        <v/>
      </c>
      <c r="AI25" s="198" t="str">
        <f>IF(Y25=0,"",(SUMPRODUCT(($D$4:$D$253=V25)*($C$4:$C$253='F0 - Données générales'!$K$31)*($E$4:$E$253)*($F$4:$F$253)*($B$4:$B$253=7))+SUMPRODUCT(($D$257:$D$281=V25)*($C$257:$C$281='F0 - Données générales'!$K$31)*($B$257:$B$281=7)*($E$257:$E$281)*($F$257:$F$281)))/(SUMIFS('F3 - Relevé du personnel'!$E$4:$E$281,'F3 - Relevé du personnel'!$D$4:$D$281,$V25,'F3 - Relevé du personnel'!$C$4:$C$281,'F0 - Données générales'!$K$31,'F3 - Relevé du personnel'!$B$4:$B$281,7)))</f>
        <v/>
      </c>
      <c r="AJ25" s="120"/>
      <c r="AK25" s="742" t="s">
        <v>65</v>
      </c>
      <c r="AL25" s="742"/>
      <c r="AM25" s="26" t="s">
        <v>278</v>
      </c>
      <c r="AN25" s="741"/>
      <c r="AO25" s="741"/>
      <c r="AP25" s="181">
        <f>SUMIFS('F3 - Relevé du personnel'!$E$4:$E$281,'F3 - Relevé du personnel'!$D$4:$D$281,$AM25,'F3 - Relevé du personnel'!$C$4:$C$281,'F0 - Données générales'!$K$31,'F3 - Relevé du personnel'!$B$4:$B$281,"base-ortho")</f>
        <v>0</v>
      </c>
      <c r="AQ25" s="181">
        <f>SUMIFS('F3 - Relevé du personnel'!$H$4:$H$281,'F3 - Relevé du personnel'!$D$4:$D$281,$AM25,'F3 - Relevé du personnel'!$C$4:$C$281,'F0 - Données générales'!$K$31,'F3 - Relevé du personnel'!$B$4:$B$281,"base-ortho")</f>
        <v>0</v>
      </c>
      <c r="AR25" s="256">
        <f>SUMIFS('F3 - Relevé du personnel'!$I$4:$I$281,'F3 - Relevé du personnel'!$D$4:$D$281,$AM25,'F3 - Relevé du personnel'!$C$4:$C$281,'F0 - Données générales'!$K$31,'F3 - Relevé du personnel'!$B$4:$B$281,"base-ortho")</f>
        <v>0</v>
      </c>
      <c r="AS25" s="256">
        <f>SUMIFS('F3 - Relevé du personnel'!$M$4:$M$281,'F3 - Relevé du personnel'!$D$4:$D$281,$AM25,'F3 - Relevé du personnel'!$C$4:$C$281,'F0 - Données générales'!$K$31,'F3 - Relevé du personnel'!$B$4:$B$281,"base-ortho")</f>
        <v>0</v>
      </c>
      <c r="AT25" s="196">
        <f t="shared" si="21"/>
        <v>0</v>
      </c>
      <c r="AU25" s="256">
        <f>SUMIFS('F3 - Relevé du personnel'!$O$4:$O$281,'F3 - Relevé du personnel'!$D$4:$D$281,$AM25,'F3 - Relevé du personnel'!$C$4:$C$281,'F0 - Données générales'!$K$31,'F3 - Relevé du personnel'!$B$4:$B$281,"base-ortho")</f>
        <v>0</v>
      </c>
      <c r="AV25" s="256">
        <f>SUMIFS('F3 - Relevé du personnel'!$P$4:$P$281,'F3 - Relevé du personnel'!$D$4:$D$281,$AM25,'F3 - Relevé du personnel'!$C$4:$C$281,'F0 - Données générales'!$K$31,'F3 - Relevé du personnel'!$B$4:$B$281,"base-ortho")</f>
        <v>0</v>
      </c>
      <c r="AW25" s="256">
        <f>SUMIFS('F3 - Relevé du personnel'!$Q$4:$Q$281,'F3 - Relevé du personnel'!$D$4:$D$281,$AM25,'F3 - Relevé du personnel'!$C$4:$C$281,'F0 - Données générales'!$K$31,'F3 - Relevé du personnel'!$B$4:$B$281,"base-ortho")</f>
        <v>0</v>
      </c>
      <c r="AX25" s="182">
        <f t="shared" si="22"/>
        <v>0</v>
      </c>
      <c r="AY25" s="197" t="str">
        <f t="shared" si="17"/>
        <v/>
      </c>
      <c r="AZ25" s="198" t="str">
        <f>IF(AP25=0,"",(SUMPRODUCT(($D$4:$D$253=AM25)*($C$4:$C$253='F0 - Données générales'!$K$31)*($E$4:$E$253)*($F$4:$F$253)*($B$4:$B$253="base-ortho"))+SUMPRODUCT(($D$257:$D$281=AM25)*($C$257:$C$281='F0 - Données générales'!$K$31)*($B$257:$B$281="base-ortho")*($E$257:$E$281)*($F$257:$F$281)))/(SUMIFS('F3 - Relevé du personnel'!$E$4:$E$281,'F3 - Relevé du personnel'!$D$4:$D$281,$AM25,'F3 - Relevé du personnel'!$C$4:$C$281,'F0 - Données générales'!$K$31,'F3 - Relevé du personnel'!$B$4:$B$281,"base-ortho")))</f>
        <v/>
      </c>
      <c r="BA25" s="120"/>
      <c r="BB25" s="796" t="s">
        <v>65</v>
      </c>
      <c r="BC25" s="797"/>
      <c r="BD25" s="26" t="s">
        <v>278</v>
      </c>
      <c r="BE25" s="801"/>
      <c r="BF25" s="802"/>
      <c r="BG25" s="181">
        <f>SUMIFS('F3 - Relevé du personnel'!$E$4:$E$281,'F3 - Relevé du personnel'!$D$4:$D$281,$BD25,'F3 - Relevé du personnel'!$C$4:$C$281,'F0 - Données générales'!$K$31)</f>
        <v>0</v>
      </c>
      <c r="BH25" s="181">
        <f>SUMIFS('F3 - Relevé du personnel'!$H$4:$H$281,'F3 - Relevé du personnel'!$D$4:$D$281,$BD25,'F3 - Relevé du personnel'!$C$4:$C$281,'F0 - Données générales'!$K$31)</f>
        <v>0</v>
      </c>
      <c r="BI25" s="256">
        <f>SUMIFS('F3 - Relevé du personnel'!$I$4:$I$281,'F3 - Relevé du personnel'!$D$4:$D$281,$BD25,'F3 - Relevé du personnel'!$C$4:$C$281,'F0 - Données générales'!$K$31)</f>
        <v>0</v>
      </c>
      <c r="BJ25" s="256">
        <f>SUMIFS('F3 - Relevé du personnel'!$M$4:$M$281,'F3 - Relevé du personnel'!$D$4:$D$281,$BD25,'F3 - Relevé du personnel'!$C$4:$C$281,'F0 - Données générales'!$K$31)</f>
        <v>0</v>
      </c>
      <c r="BK25" s="196">
        <f t="shared" si="3"/>
        <v>0</v>
      </c>
      <c r="BL25" s="256">
        <f>SUMIFS('F3 - Relevé du personnel'!$O$4:$O$281,'F3 - Relevé du personnel'!$D$4:$D$281,$BD25,'F3 - Relevé du personnel'!$C$4:$C$281,'F0 - Données générales'!$K$31)</f>
        <v>0</v>
      </c>
      <c r="BM25" s="256">
        <f>SUMIFS('F3 - Relevé du personnel'!$P$4:$P$281,'F3 - Relevé du personnel'!$D$4:$D$281,$BD25,'F3 - Relevé du personnel'!$C$4:$C$281,'F0 - Données générales'!$K$31)</f>
        <v>0</v>
      </c>
      <c r="BN25" s="256">
        <f>SUMIFS('F3 - Relevé du personnel'!$Q$4:$Q$281,'F3 - Relevé du personnel'!$D$4:$D$281,$BD25,'F3 - Relevé du personnel'!$C$4:$C$281,'F0 - Données générales'!$K$31)</f>
        <v>0</v>
      </c>
      <c r="BO25" s="182">
        <f t="shared" si="4"/>
        <v>0</v>
      </c>
      <c r="BP25" s="197" t="str">
        <f t="shared" si="12"/>
        <v/>
      </c>
      <c r="BQ25" s="198" t="str">
        <f>IF(BG25=0,"",(SUMPRODUCT(($D$4:$D$253=BD25)*($C$4:$C$253='F0 - Données générales'!$K$31)*($E$4:$E$253)*($F$4:$F$253))+SUMPRODUCT(($D$257:$D$281=BD25)*($C$257:$C$281='F0 - Données générales'!$K$31)*($E$257:$E$281)*($F$257:$F$281)))/(SUMIFS('F3 - Relevé du personnel'!$E$4:$E$281,'F3 - Relevé du personnel'!$D$4:$D$281,$BD25,'F3 - Relevé du personnel'!$C$4:$C$281,'F0 - Données générales'!$K$31)))</f>
        <v/>
      </c>
      <c r="BR25" s="40"/>
      <c r="BS25" s="792"/>
      <c r="BT25" s="793"/>
      <c r="BU25" s="97" t="s">
        <v>415</v>
      </c>
      <c r="BV25" s="135" t="str">
        <f ca="1">IF(BW6=0,"",BV24/BW6)</f>
        <v/>
      </c>
      <c r="BW25" s="135" t="str">
        <f ca="1">IF(BX6=0,"",BW24/BX6)</f>
        <v/>
      </c>
      <c r="BX25" s="135" t="str">
        <f ca="1">IF(BY6=0,"",BX24/BY6)</f>
        <v/>
      </c>
      <c r="BY25" s="135" t="str">
        <f ca="1">IF(BZ6=0,"",BY24/BZ6)</f>
        <v/>
      </c>
      <c r="BZ25" s="98" t="str">
        <f ca="1">IF(CA6=0,"",BZ24/CA6)</f>
        <v/>
      </c>
    </row>
    <row r="26" spans="1:78" x14ac:dyDescent="0.3">
      <c r="A26" s="106">
        <v>23</v>
      </c>
      <c r="B26" s="324">
        <f>'F0 - Données générales'!$C$4</f>
        <v>7</v>
      </c>
      <c r="C26" s="106" t="s">
        <v>95</v>
      </c>
      <c r="D26" s="106"/>
      <c r="E26" s="107"/>
      <c r="F26" s="108"/>
      <c r="G26" s="109"/>
      <c r="H26" s="110">
        <f t="shared" si="5"/>
        <v>0</v>
      </c>
      <c r="I26" s="177"/>
      <c r="J26" s="118" t="str">
        <f>IF(OR(D26="",F26=""),"",(((HLOOKUP(D26,'Carrières et points'!$A$20:$AD$60,F26+2,FALSE)*'Carrières et points'!$C$7*'Carrières et points'!$C$9)+(HLOOKUP(D26,'Carrières et points'!$A$20:$AD$60,F26+2,FALSE)*'Carrières et points'!$C$13*'Carrières et points'!$C$15))*(1+'F0 - Données générales'!$I$4)+((HLOOKUP(D26,'Carrières et points'!$A$20:$AD$60,F26+2,FALSE)*'Carrières et points'!$C$7*'Carrières et points'!$C$9)+(HLOOKUP(D26,'Carrières et points'!$A$20:$AD$60,F26+2,FALSE)*'Carrières et points'!$C$13*'Carrières et points'!$C$15))/12*(1+'F0 - Données générales'!$L$13))*E26)</f>
        <v/>
      </c>
      <c r="K26" s="118" t="str">
        <f t="shared" si="6"/>
        <v/>
      </c>
      <c r="L26" s="109"/>
      <c r="M26" s="177"/>
      <c r="N26" s="118" t="str">
        <f t="shared" si="0"/>
        <v/>
      </c>
      <c r="O26" s="177"/>
      <c r="P26" s="177"/>
      <c r="Q26" s="177"/>
      <c r="R26" s="255" t="str">
        <f t="shared" si="7"/>
        <v/>
      </c>
      <c r="S26" s="120"/>
      <c r="T26" s="742" t="s">
        <v>79</v>
      </c>
      <c r="U26" s="742"/>
      <c r="V26" s="26" t="s">
        <v>279</v>
      </c>
      <c r="W26" s="741"/>
      <c r="X26" s="741"/>
      <c r="Y26" s="181">
        <f>SUMIFS('F3 - Relevé du personnel'!$E$4:$E$281,'F3 - Relevé du personnel'!$D$4:$D$281,$V26,'F3 - Relevé du personnel'!$C$4:$C$281,'F0 - Données générales'!$K$31,'F3 - Relevé du personnel'!$B$4:$B$281,7)</f>
        <v>0</v>
      </c>
      <c r="Z26" s="181">
        <f>SUMIFS('F3 - Relevé du personnel'!$H$4:$H$281,'F3 - Relevé du personnel'!$D$4:$D$281,$V26,'F3 - Relevé du personnel'!$C$4:$C$281,'F0 - Données générales'!$K$31,'F3 - Relevé du personnel'!$B$4:$B$281,7)</f>
        <v>0</v>
      </c>
      <c r="AA26" s="256">
        <f>SUMIFS('F3 - Relevé du personnel'!$I$4:$I$281,'F3 - Relevé du personnel'!$D$4:$D$281,$V26,'F3 - Relevé du personnel'!$C$4:$C$281,'F0 - Données générales'!$K$31,'F3 - Relevé du personnel'!$B$4:$B$281,7)</f>
        <v>0</v>
      </c>
      <c r="AB26" s="256">
        <f>SUMIFS('F3 - Relevé du personnel'!$M$4:$M$281,'F3 - Relevé du personnel'!$D$4:$D$281,$V26,'F3 - Relevé du personnel'!$C$4:$C$281,'F0 - Données générales'!$K$31,'F3 - Relevé du personnel'!$B$4:$B$281,7)</f>
        <v>0</v>
      </c>
      <c r="AC26" s="196">
        <f t="shared" si="1"/>
        <v>0</v>
      </c>
      <c r="AD26" s="256">
        <f>SUMIFS('F3 - Relevé du personnel'!$O$4:$O$281,'F3 - Relevé du personnel'!$D$4:$D$281,$V26,'F3 - Relevé du personnel'!$C$4:$C$281,'F0 - Données générales'!$K$31,'F3 - Relevé du personnel'!$B$4:$B$281,7)</f>
        <v>0</v>
      </c>
      <c r="AE26" s="256">
        <f>SUMIFS('F3 - Relevé du personnel'!$P$4:$P$281,'F3 - Relevé du personnel'!$D$4:$D$281,$V26,'F3 - Relevé du personnel'!$C$4:$C$281,'F0 - Données générales'!$K$31,'F3 - Relevé du personnel'!$B$4:$B$281,7)</f>
        <v>0</v>
      </c>
      <c r="AF26" s="256">
        <f>SUMIFS('F3 - Relevé du personnel'!$Q$4:$Q$281,'F3 - Relevé du personnel'!$D$4:$D$281,$V26,'F3 - Relevé du personnel'!$C$4:$C$281,'F0 - Données générales'!$K$31,'F3 - Relevé du personnel'!$B$4:$B$281,7)</f>
        <v>0</v>
      </c>
      <c r="AG26" s="182">
        <f t="shared" si="2"/>
        <v>0</v>
      </c>
      <c r="AH26" s="197" t="str">
        <f t="shared" si="8"/>
        <v/>
      </c>
      <c r="AI26" s="198" t="str">
        <f>IF(Y26=0,"",(SUMPRODUCT(($D$4:$D$253=V26)*($C$4:$C$253='F0 - Données générales'!$K$31)*($E$4:$E$253)*($F$4:$F$253)*($B$4:$B$253=7))+SUMPRODUCT(($D$257:$D$281=V26)*($C$257:$C$281='F0 - Données générales'!$K$31)*($B$257:$B$281=7)*($E$257:$E$281)*($F$257:$F$281)))/(SUMIFS('F3 - Relevé du personnel'!$E$4:$E$281,'F3 - Relevé du personnel'!$D$4:$D$281,$V26,'F3 - Relevé du personnel'!$C$4:$C$281,'F0 - Données générales'!$K$31,'F3 - Relevé du personnel'!$B$4:$B$281,7)))</f>
        <v/>
      </c>
      <c r="AJ26" s="120"/>
      <c r="AK26" s="742" t="s">
        <v>79</v>
      </c>
      <c r="AL26" s="742"/>
      <c r="AM26" s="26" t="s">
        <v>279</v>
      </c>
      <c r="AN26" s="741"/>
      <c r="AO26" s="741"/>
      <c r="AP26" s="181">
        <f>SUMIFS('F3 - Relevé du personnel'!$E$4:$E$281,'F3 - Relevé du personnel'!$D$4:$D$281,$AM26,'F3 - Relevé du personnel'!$C$4:$C$281,'F0 - Données générales'!$K$31,'F3 - Relevé du personnel'!$B$4:$B$281,"base-ortho")</f>
        <v>0</v>
      </c>
      <c r="AQ26" s="181">
        <f>SUMIFS('F3 - Relevé du personnel'!$H$4:$H$281,'F3 - Relevé du personnel'!$D$4:$D$281,$AM26,'F3 - Relevé du personnel'!$C$4:$C$281,'F0 - Données générales'!$K$31,'F3 - Relevé du personnel'!$B$4:$B$281,"base-ortho")</f>
        <v>0</v>
      </c>
      <c r="AR26" s="256">
        <f>SUMIFS('F3 - Relevé du personnel'!$I$4:$I$281,'F3 - Relevé du personnel'!$D$4:$D$281,$AM26,'F3 - Relevé du personnel'!$C$4:$C$281,'F0 - Données générales'!$K$31,'F3 - Relevé du personnel'!$B$4:$B$281,"base-ortho")</f>
        <v>0</v>
      </c>
      <c r="AS26" s="256">
        <f>SUMIFS('F3 - Relevé du personnel'!$M$4:$M$281,'F3 - Relevé du personnel'!$D$4:$D$281,$AM26,'F3 - Relevé du personnel'!$C$4:$C$281,'F0 - Données générales'!$K$31,'F3 - Relevé du personnel'!$B$4:$B$281,"base-ortho")</f>
        <v>0</v>
      </c>
      <c r="AT26" s="196">
        <f t="shared" si="21"/>
        <v>0</v>
      </c>
      <c r="AU26" s="256">
        <f>SUMIFS('F3 - Relevé du personnel'!$O$4:$O$281,'F3 - Relevé du personnel'!$D$4:$D$281,$AM26,'F3 - Relevé du personnel'!$C$4:$C$281,'F0 - Données générales'!$K$31,'F3 - Relevé du personnel'!$B$4:$B$281,"base-ortho")</f>
        <v>0</v>
      </c>
      <c r="AV26" s="256">
        <f>SUMIFS('F3 - Relevé du personnel'!$P$4:$P$281,'F3 - Relevé du personnel'!$D$4:$D$281,$AM26,'F3 - Relevé du personnel'!$C$4:$C$281,'F0 - Données générales'!$K$31,'F3 - Relevé du personnel'!$B$4:$B$281,"base-ortho")</f>
        <v>0</v>
      </c>
      <c r="AW26" s="256">
        <f>SUMIFS('F3 - Relevé du personnel'!$Q$4:$Q$281,'F3 - Relevé du personnel'!$D$4:$D$281,$AM26,'F3 - Relevé du personnel'!$C$4:$C$281,'F0 - Données générales'!$K$31,'F3 - Relevé du personnel'!$B$4:$B$281,"base-ortho")</f>
        <v>0</v>
      </c>
      <c r="AX26" s="182">
        <f t="shared" si="22"/>
        <v>0</v>
      </c>
      <c r="AY26" s="197" t="str">
        <f t="shared" si="17"/>
        <v/>
      </c>
      <c r="AZ26" s="198" t="str">
        <f>IF(AP26=0,"",(SUMPRODUCT(($D$4:$D$253=AM26)*($C$4:$C$253='F0 - Données générales'!$K$31)*($E$4:$E$253)*($F$4:$F$253)*($B$4:$B$253="base-ortho"))+SUMPRODUCT(($D$257:$D$281=AM26)*($C$257:$C$281='F0 - Données générales'!$K$31)*($B$257:$B$281="base-ortho")*($E$257:$E$281)*($F$257:$F$281)))/(SUMIFS('F3 - Relevé du personnel'!$E$4:$E$281,'F3 - Relevé du personnel'!$D$4:$D$281,$AM26,'F3 - Relevé du personnel'!$C$4:$C$281,'F0 - Données générales'!$K$31,'F3 - Relevé du personnel'!$B$4:$B$281,"base-ortho")))</f>
        <v/>
      </c>
      <c r="BA26" s="120"/>
      <c r="BB26" s="796" t="s">
        <v>79</v>
      </c>
      <c r="BC26" s="797"/>
      <c r="BD26" s="26" t="s">
        <v>279</v>
      </c>
      <c r="BE26" s="801"/>
      <c r="BF26" s="802"/>
      <c r="BG26" s="181">
        <f>SUMIFS('F3 - Relevé du personnel'!$E$4:$E$281,'F3 - Relevé du personnel'!$D$4:$D$281,$BD26,'F3 - Relevé du personnel'!$C$4:$C$281,'F0 - Données générales'!$K$31)</f>
        <v>0</v>
      </c>
      <c r="BH26" s="181">
        <f>SUMIFS('F3 - Relevé du personnel'!$H$4:$H$281,'F3 - Relevé du personnel'!$D$4:$D$281,$BD26,'F3 - Relevé du personnel'!$C$4:$C$281,'F0 - Données générales'!$K$31)</f>
        <v>0</v>
      </c>
      <c r="BI26" s="256">
        <f>SUMIFS('F3 - Relevé du personnel'!$I$4:$I$281,'F3 - Relevé du personnel'!$D$4:$D$281,$BD26,'F3 - Relevé du personnel'!$C$4:$C$281,'F0 - Données générales'!$K$31)</f>
        <v>0</v>
      </c>
      <c r="BJ26" s="256">
        <f>SUMIFS('F3 - Relevé du personnel'!$M$4:$M$281,'F3 - Relevé du personnel'!$D$4:$D$281,$BD26,'F3 - Relevé du personnel'!$C$4:$C$281,'F0 - Données générales'!$K$31)</f>
        <v>0</v>
      </c>
      <c r="BK26" s="196">
        <f t="shared" si="3"/>
        <v>0</v>
      </c>
      <c r="BL26" s="256">
        <f>SUMIFS('F3 - Relevé du personnel'!$O$4:$O$281,'F3 - Relevé du personnel'!$D$4:$D$281,$BD26,'F3 - Relevé du personnel'!$C$4:$C$281,'F0 - Données générales'!$K$31)</f>
        <v>0</v>
      </c>
      <c r="BM26" s="256">
        <f>SUMIFS('F3 - Relevé du personnel'!$P$4:$P$281,'F3 - Relevé du personnel'!$D$4:$D$281,$BD26,'F3 - Relevé du personnel'!$C$4:$C$281,'F0 - Données générales'!$K$31)</f>
        <v>0</v>
      </c>
      <c r="BN26" s="256">
        <f>SUMIFS('F3 - Relevé du personnel'!$Q$4:$Q$281,'F3 - Relevé du personnel'!$D$4:$D$281,$BD26,'F3 - Relevé du personnel'!$C$4:$C$281,'F0 - Données générales'!$K$31)</f>
        <v>0</v>
      </c>
      <c r="BO26" s="182">
        <f t="shared" si="4"/>
        <v>0</v>
      </c>
      <c r="BP26" s="197" t="str">
        <f t="shared" si="12"/>
        <v/>
      </c>
      <c r="BQ26" s="198" t="str">
        <f>IF(BG26=0,"",(SUMPRODUCT(($D$4:$D$253=BD26)*($C$4:$C$253='F0 - Données générales'!$K$31)*($E$4:$E$253)*($F$4:$F$253))+SUMPRODUCT(($D$257:$D$281=BD26)*($C$257:$C$281='F0 - Données générales'!$K$31)*($E$257:$E$281)*($F$257:$F$281)))/(SUMIFS('F3 - Relevé du personnel'!$E$4:$E$281,'F3 - Relevé du personnel'!$D$4:$D$281,$BD26,'F3 - Relevé du personnel'!$C$4:$C$281,'F0 - Données générales'!$K$31)))</f>
        <v/>
      </c>
      <c r="BR26" s="204"/>
      <c r="BS26" s="786"/>
      <c r="BT26" s="787"/>
      <c r="BU26" s="95" t="s">
        <v>232</v>
      </c>
      <c r="BV26" s="136" t="e">
        <f ca="1">IF('F0 - Données générales'!$H$5="","",IF('F0 - Données générales'!$H$5="horaire",BV24/'F2 - Données facturation'!$AA$20,IF('F0 - Données générales'!$H$5="journalier",BV24/'F2 - Données facturation'!$Y$30)))</f>
        <v>#DIV/0!</v>
      </c>
      <c r="BW26" s="136" t="e">
        <f ca="1">IF('F0 - Données générales'!$H$5="","",IF('F0 - Données générales'!$H$5="horaire",BW24/'F2 - Données facturation'!$AA$20,IF('F0 - Données générales'!$H$5="journalier",BW24/'F2 - Données facturation'!$Y$30)))</f>
        <v>#DIV/0!</v>
      </c>
      <c r="BX26" s="136" t="e">
        <f ca="1">IF('F0 - Données générales'!$H$5="","",IF('F0 - Données générales'!$H$5="horaire",BX24/'F2 - Données facturation'!$AA$20,IF('F0 - Données générales'!$H$5="journalier",BX24/'F2 - Données facturation'!$Y$30)))</f>
        <v>#DIV/0!</v>
      </c>
      <c r="BY26" s="136" t="e">
        <f ca="1">IF('F0 - Données générales'!$H$5="","",IF('F0 - Données générales'!$H$5="horaire",BY24/'F2 - Données facturation'!$AA$20,IF('F0 - Données générales'!$H$5="journalier",BY24/'F2 - Données facturation'!$Y$30)))</f>
        <v>#DIV/0!</v>
      </c>
      <c r="BZ26" s="99" t="e">
        <f ca="1">IF('F0 - Données générales'!$H$5="","",IF('F0 - Données générales'!$H$5="horaire",BZ24/'F2 - Données facturation'!$AA$20,IF('F0 - Données générales'!$H$5="journalier",BZ24/'F2 - Données facturation'!$Y$30)))</f>
        <v>#DIV/0!</v>
      </c>
    </row>
    <row r="27" spans="1:78" x14ac:dyDescent="0.3">
      <c r="A27" s="106">
        <v>24</v>
      </c>
      <c r="B27" s="324">
        <f>'F0 - Données générales'!$C$4</f>
        <v>7</v>
      </c>
      <c r="C27" s="106" t="s">
        <v>95</v>
      </c>
      <c r="D27" s="106"/>
      <c r="E27" s="107"/>
      <c r="F27" s="108"/>
      <c r="G27" s="109"/>
      <c r="H27" s="110">
        <f t="shared" si="5"/>
        <v>0</v>
      </c>
      <c r="I27" s="177"/>
      <c r="J27" s="118" t="str">
        <f>IF(OR(D27="",F27=""),"",(((HLOOKUP(D27,'Carrières et points'!$A$20:$AD$60,F27+2,FALSE)*'Carrières et points'!$C$7*'Carrières et points'!$C$9)+(HLOOKUP(D27,'Carrières et points'!$A$20:$AD$60,F27+2,FALSE)*'Carrières et points'!$C$13*'Carrières et points'!$C$15))*(1+'F0 - Données générales'!$I$4)+((HLOOKUP(D27,'Carrières et points'!$A$20:$AD$60,F27+2,FALSE)*'Carrières et points'!$C$7*'Carrières et points'!$C$9)+(HLOOKUP(D27,'Carrières et points'!$A$20:$AD$60,F27+2,FALSE)*'Carrières et points'!$C$13*'Carrières et points'!$C$15))/12*(1+'F0 - Données générales'!$L$13))*E27)</f>
        <v/>
      </c>
      <c r="K27" s="118" t="str">
        <f t="shared" si="6"/>
        <v/>
      </c>
      <c r="L27" s="109"/>
      <c r="M27" s="177"/>
      <c r="N27" s="118" t="str">
        <f t="shared" si="0"/>
        <v/>
      </c>
      <c r="O27" s="177"/>
      <c r="P27" s="177"/>
      <c r="Q27" s="177"/>
      <c r="R27" s="255" t="str">
        <f t="shared" si="7"/>
        <v/>
      </c>
      <c r="S27" s="120"/>
      <c r="T27" s="742" t="s">
        <v>65</v>
      </c>
      <c r="U27" s="742"/>
      <c r="V27" s="26" t="s">
        <v>280</v>
      </c>
      <c r="W27" s="741"/>
      <c r="X27" s="741"/>
      <c r="Y27" s="181">
        <f>SUMIFS('F3 - Relevé du personnel'!$E$4:$E$281,'F3 - Relevé du personnel'!$D$4:$D$281,$V27,'F3 - Relevé du personnel'!$C$4:$C$281,'F0 - Données générales'!$K$31,'F3 - Relevé du personnel'!$B$4:$B$281,7)</f>
        <v>0</v>
      </c>
      <c r="Z27" s="181">
        <f>SUMIFS('F3 - Relevé du personnel'!$H$4:$H$281,'F3 - Relevé du personnel'!$D$4:$D$281,$V27,'F3 - Relevé du personnel'!$C$4:$C$281,'F0 - Données générales'!$K$31,'F3 - Relevé du personnel'!$B$4:$B$281,7)</f>
        <v>0</v>
      </c>
      <c r="AA27" s="256">
        <f>SUMIFS('F3 - Relevé du personnel'!$I$4:$I$281,'F3 - Relevé du personnel'!$D$4:$D$281,$V27,'F3 - Relevé du personnel'!$C$4:$C$281,'F0 - Données générales'!$K$31,'F3 - Relevé du personnel'!$B$4:$B$281,7)</f>
        <v>0</v>
      </c>
      <c r="AB27" s="256">
        <f>SUMIFS('F3 - Relevé du personnel'!$M$4:$M$281,'F3 - Relevé du personnel'!$D$4:$D$281,$V27,'F3 - Relevé du personnel'!$C$4:$C$281,'F0 - Données générales'!$K$31,'F3 - Relevé du personnel'!$B$4:$B$281,7)</f>
        <v>0</v>
      </c>
      <c r="AC27" s="196">
        <f t="shared" si="1"/>
        <v>0</v>
      </c>
      <c r="AD27" s="256">
        <f>SUMIFS('F3 - Relevé du personnel'!$O$4:$O$281,'F3 - Relevé du personnel'!$D$4:$D$281,$V27,'F3 - Relevé du personnel'!$C$4:$C$281,'F0 - Données générales'!$K$31,'F3 - Relevé du personnel'!$B$4:$B$281,7)</f>
        <v>0</v>
      </c>
      <c r="AE27" s="256">
        <f>SUMIFS('F3 - Relevé du personnel'!$P$4:$P$281,'F3 - Relevé du personnel'!$D$4:$D$281,$V27,'F3 - Relevé du personnel'!$C$4:$C$281,'F0 - Données générales'!$K$31,'F3 - Relevé du personnel'!$B$4:$B$281,7)</f>
        <v>0</v>
      </c>
      <c r="AF27" s="256">
        <f>SUMIFS('F3 - Relevé du personnel'!$Q$4:$Q$281,'F3 - Relevé du personnel'!$D$4:$D$281,$V27,'F3 - Relevé du personnel'!$C$4:$C$281,'F0 - Données générales'!$K$31,'F3 - Relevé du personnel'!$B$4:$B$281,7)</f>
        <v>0</v>
      </c>
      <c r="AG27" s="182">
        <f t="shared" si="2"/>
        <v>0</v>
      </c>
      <c r="AH27" s="197" t="str">
        <f t="shared" si="8"/>
        <v/>
      </c>
      <c r="AI27" s="198" t="str">
        <f>IF(Y27=0,"",(SUMPRODUCT(($D$4:$D$253=V27)*($C$4:$C$253='F0 - Données générales'!$K$31)*($E$4:$E$253)*($F$4:$F$253)*($B$4:$B$253=7))+SUMPRODUCT(($D$257:$D$281=V27)*($C$257:$C$281='F0 - Données générales'!$K$31)*($B$257:$B$281=7)*($E$257:$E$281)*($F$257:$F$281)))/(SUMIFS('F3 - Relevé du personnel'!$E$4:$E$281,'F3 - Relevé du personnel'!$D$4:$D$281,$V27,'F3 - Relevé du personnel'!$C$4:$C$281,'F0 - Données générales'!$K$31,'F3 - Relevé du personnel'!$B$4:$B$281,7)))</f>
        <v/>
      </c>
      <c r="AJ27" s="120"/>
      <c r="AK27" s="742" t="s">
        <v>65</v>
      </c>
      <c r="AL27" s="742"/>
      <c r="AM27" s="26" t="s">
        <v>280</v>
      </c>
      <c r="AN27" s="741"/>
      <c r="AO27" s="741"/>
      <c r="AP27" s="181">
        <f>SUMIFS('F3 - Relevé du personnel'!$E$4:$E$281,'F3 - Relevé du personnel'!$D$4:$D$281,$AM27,'F3 - Relevé du personnel'!$C$4:$C$281,'F0 - Données générales'!$K$31,'F3 - Relevé du personnel'!$B$4:$B$281,"base-ortho")</f>
        <v>0</v>
      </c>
      <c r="AQ27" s="181">
        <f>SUMIFS('F3 - Relevé du personnel'!$H$4:$H$281,'F3 - Relevé du personnel'!$D$4:$D$281,$AM27,'F3 - Relevé du personnel'!$C$4:$C$281,'F0 - Données générales'!$K$31,'F3 - Relevé du personnel'!$B$4:$B$281,"base-ortho")</f>
        <v>0</v>
      </c>
      <c r="AR27" s="256">
        <f>SUMIFS('F3 - Relevé du personnel'!$I$4:$I$281,'F3 - Relevé du personnel'!$D$4:$D$281,$AM27,'F3 - Relevé du personnel'!$C$4:$C$281,'F0 - Données générales'!$K$31,'F3 - Relevé du personnel'!$B$4:$B$281,"base-ortho")</f>
        <v>0</v>
      </c>
      <c r="AS27" s="256">
        <f>SUMIFS('F3 - Relevé du personnel'!$M$4:$M$281,'F3 - Relevé du personnel'!$D$4:$D$281,$AM27,'F3 - Relevé du personnel'!$C$4:$C$281,'F0 - Données générales'!$K$31,'F3 - Relevé du personnel'!$B$4:$B$281,"base-ortho")</f>
        <v>0</v>
      </c>
      <c r="AT27" s="196">
        <f t="shared" si="21"/>
        <v>0</v>
      </c>
      <c r="AU27" s="256">
        <f>SUMIFS('F3 - Relevé du personnel'!$O$4:$O$281,'F3 - Relevé du personnel'!$D$4:$D$281,$AM27,'F3 - Relevé du personnel'!$C$4:$C$281,'F0 - Données générales'!$K$31,'F3 - Relevé du personnel'!$B$4:$B$281,"base-ortho")</f>
        <v>0</v>
      </c>
      <c r="AV27" s="256">
        <f>SUMIFS('F3 - Relevé du personnel'!$P$4:$P$281,'F3 - Relevé du personnel'!$D$4:$D$281,$AM27,'F3 - Relevé du personnel'!$C$4:$C$281,'F0 - Données générales'!$K$31,'F3 - Relevé du personnel'!$B$4:$B$281,"base-ortho")</f>
        <v>0</v>
      </c>
      <c r="AW27" s="256">
        <f>SUMIFS('F3 - Relevé du personnel'!$Q$4:$Q$281,'F3 - Relevé du personnel'!$D$4:$D$281,$AM27,'F3 - Relevé du personnel'!$C$4:$C$281,'F0 - Données générales'!$K$31,'F3 - Relevé du personnel'!$B$4:$B$281,"base-ortho")</f>
        <v>0</v>
      </c>
      <c r="AX27" s="182">
        <f t="shared" si="22"/>
        <v>0</v>
      </c>
      <c r="AY27" s="197" t="str">
        <f t="shared" si="17"/>
        <v/>
      </c>
      <c r="AZ27" s="198" t="str">
        <f>IF(AP27=0,"",(SUMPRODUCT(($D$4:$D$253=AM27)*($C$4:$C$253='F0 - Données générales'!$K$31)*($E$4:$E$253)*($F$4:$F$253)*($B$4:$B$253="base-ortho"))+SUMPRODUCT(($D$257:$D$281=AM27)*($C$257:$C$281='F0 - Données générales'!$K$31)*($B$257:$B$281="base-ortho")*($E$257:$E$281)*($F$257:$F$281)))/(SUMIFS('F3 - Relevé du personnel'!$E$4:$E$281,'F3 - Relevé du personnel'!$D$4:$D$281,$AM27,'F3 - Relevé du personnel'!$C$4:$C$281,'F0 - Données générales'!$K$31,'F3 - Relevé du personnel'!$B$4:$B$281,"base-ortho")))</f>
        <v/>
      </c>
      <c r="BA27" s="120"/>
      <c r="BB27" s="796" t="s">
        <v>65</v>
      </c>
      <c r="BC27" s="797"/>
      <c r="BD27" s="26" t="s">
        <v>280</v>
      </c>
      <c r="BE27" s="801"/>
      <c r="BF27" s="802"/>
      <c r="BG27" s="181">
        <f>SUMIFS('F3 - Relevé du personnel'!$E$4:$E$281,'F3 - Relevé du personnel'!$D$4:$D$281,$BD27,'F3 - Relevé du personnel'!$C$4:$C$281,'F0 - Données générales'!$K$31)</f>
        <v>0</v>
      </c>
      <c r="BH27" s="181">
        <f>SUMIFS('F3 - Relevé du personnel'!$H$4:$H$281,'F3 - Relevé du personnel'!$D$4:$D$281,$BD27,'F3 - Relevé du personnel'!$C$4:$C$281,'F0 - Données générales'!$K$31)</f>
        <v>0</v>
      </c>
      <c r="BI27" s="256">
        <f>SUMIFS('F3 - Relevé du personnel'!$I$4:$I$281,'F3 - Relevé du personnel'!$D$4:$D$281,$BD27,'F3 - Relevé du personnel'!$C$4:$C$281,'F0 - Données générales'!$K$31)</f>
        <v>0</v>
      </c>
      <c r="BJ27" s="256">
        <f>SUMIFS('F3 - Relevé du personnel'!$M$4:$M$281,'F3 - Relevé du personnel'!$D$4:$D$281,$BD27,'F3 - Relevé du personnel'!$C$4:$C$281,'F0 - Données générales'!$K$31)</f>
        <v>0</v>
      </c>
      <c r="BK27" s="196">
        <f t="shared" si="3"/>
        <v>0</v>
      </c>
      <c r="BL27" s="256">
        <f>SUMIFS('F3 - Relevé du personnel'!$O$4:$O$281,'F3 - Relevé du personnel'!$D$4:$D$281,$BD27,'F3 - Relevé du personnel'!$C$4:$C$281,'F0 - Données générales'!$K$31)</f>
        <v>0</v>
      </c>
      <c r="BM27" s="256">
        <f>SUMIFS('F3 - Relevé du personnel'!$P$4:$P$281,'F3 - Relevé du personnel'!$D$4:$D$281,$BD27,'F3 - Relevé du personnel'!$C$4:$C$281,'F0 - Données générales'!$K$31)</f>
        <v>0</v>
      </c>
      <c r="BN27" s="256">
        <f>SUMIFS('F3 - Relevé du personnel'!$Q$4:$Q$281,'F3 - Relevé du personnel'!$D$4:$D$281,$BD27,'F3 - Relevé du personnel'!$C$4:$C$281,'F0 - Données générales'!$K$31)</f>
        <v>0</v>
      </c>
      <c r="BO27" s="182">
        <f t="shared" si="4"/>
        <v>0</v>
      </c>
      <c r="BP27" s="197" t="str">
        <f t="shared" si="12"/>
        <v/>
      </c>
      <c r="BQ27" s="198" t="str">
        <f>IF(BG27=0,"",(SUMPRODUCT(($D$4:$D$253=BD27)*($C$4:$C$253='F0 - Données générales'!$K$31)*($E$4:$E$253)*($F$4:$F$253))+SUMPRODUCT(($D$257:$D$281=BD27)*($C$257:$C$281='F0 - Données générales'!$K$31)*($E$257:$E$281)*($F$257:$F$281)))/(SUMIFS('F3 - Relevé du personnel'!$E$4:$E$281,'F3 - Relevé du personnel'!$D$4:$D$281,$BD27,'F3 - Relevé du personnel'!$C$4:$C$281,'F0 - Données générales'!$K$31)))</f>
        <v/>
      </c>
      <c r="BR27" s="40"/>
      <c r="BS27" s="784" t="s">
        <v>64</v>
      </c>
      <c r="BT27" s="785"/>
      <c r="BU27" s="91" t="s">
        <v>231</v>
      </c>
      <c r="BV27" s="134">
        <f ca="1">SUMIF($BB$4:$BC$32,$BS27,BO$4:BO$32)</f>
        <v>0</v>
      </c>
      <c r="BW27" s="134">
        <f ca="1">SUMIF($BB$43:$BC$71,$BS27,$BN$43:$BN$71)</f>
        <v>0</v>
      </c>
      <c r="BX27" s="134">
        <f ca="1">SUMIF($BB$82:$BC$110,$BS27,$BN$82:$BN$110)</f>
        <v>0</v>
      </c>
      <c r="BY27" s="134">
        <f ca="1">SUMIF($BB$121:$BC$149,$BS27,$BN$121:$BN$149)</f>
        <v>0</v>
      </c>
      <c r="BZ27" s="96">
        <f ca="1">SUM(BV27:BY27)</f>
        <v>0</v>
      </c>
    </row>
    <row r="28" spans="1:78" x14ac:dyDescent="0.3">
      <c r="A28" s="106">
        <v>25</v>
      </c>
      <c r="B28" s="324">
        <f>'F0 - Données générales'!$C$4</f>
        <v>7</v>
      </c>
      <c r="C28" s="106" t="s">
        <v>95</v>
      </c>
      <c r="D28" s="106"/>
      <c r="E28" s="107"/>
      <c r="F28" s="108"/>
      <c r="G28" s="109"/>
      <c r="H28" s="110">
        <f t="shared" si="5"/>
        <v>0</v>
      </c>
      <c r="I28" s="177"/>
      <c r="J28" s="118" t="str">
        <f>IF(OR(D28="",F28=""),"",(((HLOOKUP(D28,'Carrières et points'!$A$20:$AD$60,F28+2,FALSE)*'Carrières et points'!$C$7*'Carrières et points'!$C$9)+(HLOOKUP(D28,'Carrières et points'!$A$20:$AD$60,F28+2,FALSE)*'Carrières et points'!$C$13*'Carrières et points'!$C$15))*(1+'F0 - Données générales'!$I$4)+((HLOOKUP(D28,'Carrières et points'!$A$20:$AD$60,F28+2,FALSE)*'Carrières et points'!$C$7*'Carrières et points'!$C$9)+(HLOOKUP(D28,'Carrières et points'!$A$20:$AD$60,F28+2,FALSE)*'Carrières et points'!$C$13*'Carrières et points'!$C$15))/12*(1+'F0 - Données générales'!$L$13))*E28)</f>
        <v/>
      </c>
      <c r="K28" s="118" t="str">
        <f t="shared" si="6"/>
        <v/>
      </c>
      <c r="L28" s="109"/>
      <c r="M28" s="177"/>
      <c r="N28" s="118" t="str">
        <f t="shared" si="0"/>
        <v/>
      </c>
      <c r="O28" s="177"/>
      <c r="P28" s="177"/>
      <c r="Q28" s="177"/>
      <c r="R28" s="255" t="str">
        <f t="shared" si="7"/>
        <v/>
      </c>
      <c r="S28" s="120"/>
      <c r="T28" s="742" t="s">
        <v>64</v>
      </c>
      <c r="U28" s="742"/>
      <c r="V28" s="26" t="s">
        <v>97</v>
      </c>
      <c r="W28" s="741"/>
      <c r="X28" s="741"/>
      <c r="Y28" s="181">
        <f>SUMIFS('F3 - Relevé du personnel'!$E$4:$E$281,'F3 - Relevé du personnel'!$D$4:$D$281,$V28,'F3 - Relevé du personnel'!$C$4:$C$281,'F0 - Données générales'!$K$31,'F3 - Relevé du personnel'!$B$4:$B$281,7)</f>
        <v>0</v>
      </c>
      <c r="Z28" s="181">
        <f>SUMIFS('F3 - Relevé du personnel'!$H$4:$H$281,'F3 - Relevé du personnel'!$D$4:$D$281,$V28,'F3 - Relevé du personnel'!$C$4:$C$281,'F0 - Données générales'!$K$31,'F3 - Relevé du personnel'!$B$4:$B$281,7)</f>
        <v>0</v>
      </c>
      <c r="AA28" s="256">
        <f>SUMIFS('F3 - Relevé du personnel'!$I$4:$I$281,'F3 - Relevé du personnel'!$D$4:$D$281,$V28,'F3 - Relevé du personnel'!$C$4:$C$281,'F0 - Données générales'!$K$31,'F3 - Relevé du personnel'!$B$4:$B$281,7)</f>
        <v>0</v>
      </c>
      <c r="AB28" s="256">
        <f>SUMIFS('F3 - Relevé du personnel'!$M$4:$M$281,'F3 - Relevé du personnel'!$D$4:$D$281,$V28,'F3 - Relevé du personnel'!$C$4:$C$281,'F0 - Données générales'!$K$31,'F3 - Relevé du personnel'!$B$4:$B$281,7)</f>
        <v>0</v>
      </c>
      <c r="AC28" s="196">
        <f t="shared" si="1"/>
        <v>0</v>
      </c>
      <c r="AD28" s="256">
        <f>SUMIFS('F3 - Relevé du personnel'!$O$4:$O$281,'F3 - Relevé du personnel'!$D$4:$D$281,$V28,'F3 - Relevé du personnel'!$C$4:$C$281,'F0 - Données générales'!$K$31,'F3 - Relevé du personnel'!$B$4:$B$281,7)</f>
        <v>0</v>
      </c>
      <c r="AE28" s="256">
        <f>SUMIFS('F3 - Relevé du personnel'!$P$4:$P$281,'F3 - Relevé du personnel'!$D$4:$D$281,$V28,'F3 - Relevé du personnel'!$C$4:$C$281,'F0 - Données générales'!$K$31,'F3 - Relevé du personnel'!$B$4:$B$281,7)</f>
        <v>0</v>
      </c>
      <c r="AF28" s="256">
        <f>SUMIFS('F3 - Relevé du personnel'!$Q$4:$Q$281,'F3 - Relevé du personnel'!$D$4:$D$281,$V28,'F3 - Relevé du personnel'!$C$4:$C$281,'F0 - Données générales'!$K$31,'F3 - Relevé du personnel'!$B$4:$B$281,7)</f>
        <v>0</v>
      </c>
      <c r="AG28" s="182">
        <f t="shared" si="2"/>
        <v>0</v>
      </c>
      <c r="AH28" s="197" t="str">
        <f t="shared" si="8"/>
        <v/>
      </c>
      <c r="AI28" s="198" t="str">
        <f>IF(Y28=0,"",(SUMPRODUCT(($D$4:$D$253=V28)*($C$4:$C$253='F0 - Données générales'!$K$31)*($E$4:$E$253)*($F$4:$F$253)*($B$4:$B$253=7))+SUMPRODUCT(($D$257:$D$281=V28)*($C$257:$C$281='F0 - Données générales'!$K$31)*($B$257:$B$281=7)*($E$257:$E$281)*($F$257:$F$281)))/(SUMIFS('F3 - Relevé du personnel'!$E$4:$E$281,'F3 - Relevé du personnel'!$D$4:$D$281,$V28,'F3 - Relevé du personnel'!$C$4:$C$281,'F0 - Données générales'!$K$31,'F3 - Relevé du personnel'!$B$4:$B$281,7)))</f>
        <v/>
      </c>
      <c r="AJ28" s="120"/>
      <c r="AK28" s="742" t="s">
        <v>64</v>
      </c>
      <c r="AL28" s="742"/>
      <c r="AM28" s="26" t="s">
        <v>97</v>
      </c>
      <c r="AN28" s="741"/>
      <c r="AO28" s="741"/>
      <c r="AP28" s="181">
        <f>SUMIFS('F3 - Relevé du personnel'!$E$4:$E$281,'F3 - Relevé du personnel'!$D$4:$D$281,$AM28,'F3 - Relevé du personnel'!$C$4:$C$281,'F0 - Données générales'!$K$31,'F3 - Relevé du personnel'!$B$4:$B$281,"base-ortho")</f>
        <v>0</v>
      </c>
      <c r="AQ28" s="181">
        <f>SUMIFS('F3 - Relevé du personnel'!$H$4:$H$281,'F3 - Relevé du personnel'!$D$4:$D$281,$AM28,'F3 - Relevé du personnel'!$C$4:$C$281,'F0 - Données générales'!$K$31,'F3 - Relevé du personnel'!$B$4:$B$281,"base-ortho")</f>
        <v>0</v>
      </c>
      <c r="AR28" s="256">
        <f>SUMIFS('F3 - Relevé du personnel'!$I$4:$I$281,'F3 - Relevé du personnel'!$D$4:$D$281,$AM28,'F3 - Relevé du personnel'!$C$4:$C$281,'F0 - Données générales'!$K$31,'F3 - Relevé du personnel'!$B$4:$B$281,"base-ortho")</f>
        <v>0</v>
      </c>
      <c r="AS28" s="256">
        <f>SUMIFS('F3 - Relevé du personnel'!$M$4:$M$281,'F3 - Relevé du personnel'!$D$4:$D$281,$AM28,'F3 - Relevé du personnel'!$C$4:$C$281,'F0 - Données générales'!$K$31,'F3 - Relevé du personnel'!$B$4:$B$281,"base-ortho")</f>
        <v>0</v>
      </c>
      <c r="AT28" s="196">
        <f t="shared" si="21"/>
        <v>0</v>
      </c>
      <c r="AU28" s="256">
        <f>SUMIFS('F3 - Relevé du personnel'!$O$4:$O$281,'F3 - Relevé du personnel'!$D$4:$D$281,$AM28,'F3 - Relevé du personnel'!$C$4:$C$281,'F0 - Données générales'!$K$31,'F3 - Relevé du personnel'!$B$4:$B$281,"base-ortho")</f>
        <v>0</v>
      </c>
      <c r="AV28" s="256">
        <f>SUMIFS('F3 - Relevé du personnel'!$P$4:$P$281,'F3 - Relevé du personnel'!$D$4:$D$281,$AM28,'F3 - Relevé du personnel'!$C$4:$C$281,'F0 - Données générales'!$K$31,'F3 - Relevé du personnel'!$B$4:$B$281,"base-ortho")</f>
        <v>0</v>
      </c>
      <c r="AW28" s="256">
        <f>SUMIFS('F3 - Relevé du personnel'!$Q$4:$Q$281,'F3 - Relevé du personnel'!$D$4:$D$281,$AM28,'F3 - Relevé du personnel'!$C$4:$C$281,'F0 - Données générales'!$K$31,'F3 - Relevé du personnel'!$B$4:$B$281,"base-ortho")</f>
        <v>0</v>
      </c>
      <c r="AX28" s="182">
        <f t="shared" si="22"/>
        <v>0</v>
      </c>
      <c r="AY28" s="197" t="str">
        <f t="shared" si="17"/>
        <v/>
      </c>
      <c r="AZ28" s="198" t="str">
        <f>IF(AP28=0,"",(SUMPRODUCT(($D$4:$D$253=AM28)*($C$4:$C$253='F0 - Données générales'!$K$31)*($E$4:$E$253)*($F$4:$F$253)*($B$4:$B$253="base-ortho"))+SUMPRODUCT(($D$257:$D$281=AM28)*($C$257:$C$281='F0 - Données générales'!$K$31)*($B$257:$B$281="base-ortho")*($E$257:$E$281)*($F$257:$F$281)))/(SUMIFS('F3 - Relevé du personnel'!$E$4:$E$281,'F3 - Relevé du personnel'!$D$4:$D$281,$AM28,'F3 - Relevé du personnel'!$C$4:$C$281,'F0 - Données générales'!$K$31,'F3 - Relevé du personnel'!$B$4:$B$281,"base-ortho")))</f>
        <v/>
      </c>
      <c r="BA28" s="120"/>
      <c r="BB28" s="796" t="s">
        <v>64</v>
      </c>
      <c r="BC28" s="797"/>
      <c r="BD28" s="26" t="s">
        <v>97</v>
      </c>
      <c r="BE28" s="801"/>
      <c r="BF28" s="802"/>
      <c r="BG28" s="181">
        <f>SUMIFS('F3 - Relevé du personnel'!$E$4:$E$281,'F3 - Relevé du personnel'!$D$4:$D$281,$BD28,'F3 - Relevé du personnel'!$C$4:$C$281,'F0 - Données générales'!$K$31)</f>
        <v>0</v>
      </c>
      <c r="BH28" s="181">
        <f>SUMIFS('F3 - Relevé du personnel'!$H$4:$H$281,'F3 - Relevé du personnel'!$D$4:$D$281,$BD28,'F3 - Relevé du personnel'!$C$4:$C$281,'F0 - Données générales'!$K$31)</f>
        <v>0</v>
      </c>
      <c r="BI28" s="256">
        <f>SUMIFS('F3 - Relevé du personnel'!$I$4:$I$281,'F3 - Relevé du personnel'!$D$4:$D$281,$BD28,'F3 - Relevé du personnel'!$C$4:$C$281,'F0 - Données générales'!$K$31)</f>
        <v>0</v>
      </c>
      <c r="BJ28" s="256">
        <f>SUMIFS('F3 - Relevé du personnel'!$M$4:$M$281,'F3 - Relevé du personnel'!$D$4:$D$281,$BD28,'F3 - Relevé du personnel'!$C$4:$C$281,'F0 - Données générales'!$K$31)</f>
        <v>0</v>
      </c>
      <c r="BK28" s="196">
        <f t="shared" si="3"/>
        <v>0</v>
      </c>
      <c r="BL28" s="256">
        <f>SUMIFS('F3 - Relevé du personnel'!$O$4:$O$281,'F3 - Relevé du personnel'!$D$4:$D$281,$BD28,'F3 - Relevé du personnel'!$C$4:$C$281,'F0 - Données générales'!$K$31)</f>
        <v>0</v>
      </c>
      <c r="BM28" s="256">
        <f>SUMIFS('F3 - Relevé du personnel'!$P$4:$P$281,'F3 - Relevé du personnel'!$D$4:$D$281,$BD28,'F3 - Relevé du personnel'!$C$4:$C$281,'F0 - Données générales'!$K$31)</f>
        <v>0</v>
      </c>
      <c r="BN28" s="256">
        <f>SUMIFS('F3 - Relevé du personnel'!$Q$4:$Q$281,'F3 - Relevé du personnel'!$D$4:$D$281,$BD28,'F3 - Relevé du personnel'!$C$4:$C$281,'F0 - Données générales'!$K$31)</f>
        <v>0</v>
      </c>
      <c r="BO28" s="182">
        <f t="shared" si="4"/>
        <v>0</v>
      </c>
      <c r="BP28" s="197" t="str">
        <f t="shared" si="12"/>
        <v/>
      </c>
      <c r="BQ28" s="198" t="str">
        <f>IF(BG28=0,"",(SUMPRODUCT(($D$4:$D$253=BD28)*($C$4:$C$253='F0 - Données générales'!$K$31)*($E$4:$E$253)*($F$4:$F$253))+SUMPRODUCT(($D$257:$D$281=BD28)*($C$257:$C$281='F0 - Données générales'!$K$31)*($E$257:$E$281)*($F$257:$F$281)))/(SUMIFS('F3 - Relevé du personnel'!$E$4:$E$281,'F3 - Relevé du personnel'!$D$4:$D$281,$BD28,'F3 - Relevé du personnel'!$C$4:$C$281,'F0 - Données générales'!$K$31)))</f>
        <v/>
      </c>
      <c r="BR28" s="40"/>
      <c r="BS28" s="792"/>
      <c r="BT28" s="793"/>
      <c r="BU28" s="97" t="s">
        <v>415</v>
      </c>
      <c r="BV28" s="135" t="str">
        <f ca="1">IF(BW8=0,"",BV27/BW8)</f>
        <v/>
      </c>
      <c r="BW28" s="135" t="str">
        <f ca="1">IF(BX8=0,"",BW27/BX8)</f>
        <v/>
      </c>
      <c r="BX28" s="135" t="str">
        <f ca="1">IF(BY8=0,"",BX27/BY8)</f>
        <v/>
      </c>
      <c r="BY28" s="135" t="str">
        <f ca="1">IF(BZ8=0,"",BY27/BZ8)</f>
        <v/>
      </c>
      <c r="BZ28" s="98" t="str">
        <f ca="1">IF(CA8=0,"",BZ27/CA8)</f>
        <v/>
      </c>
    </row>
    <row r="29" spans="1:78" x14ac:dyDescent="0.3">
      <c r="A29" s="106">
        <v>26</v>
      </c>
      <c r="B29" s="324">
        <f>'F0 - Données générales'!$C$4</f>
        <v>7</v>
      </c>
      <c r="C29" s="106" t="s">
        <v>95</v>
      </c>
      <c r="D29" s="106"/>
      <c r="E29" s="107"/>
      <c r="F29" s="108"/>
      <c r="G29" s="109"/>
      <c r="H29" s="110">
        <f t="shared" si="5"/>
        <v>0</v>
      </c>
      <c r="I29" s="177"/>
      <c r="J29" s="118" t="str">
        <f>IF(OR(D29="",F29=""),"",(((HLOOKUP(D29,'Carrières et points'!$A$20:$AD$60,F29+2,FALSE)*'Carrières et points'!$C$7*'Carrières et points'!$C$9)+(HLOOKUP(D29,'Carrières et points'!$A$20:$AD$60,F29+2,FALSE)*'Carrières et points'!$C$13*'Carrières et points'!$C$15))*(1+'F0 - Données générales'!$I$4)+((HLOOKUP(D29,'Carrières et points'!$A$20:$AD$60,F29+2,FALSE)*'Carrières et points'!$C$7*'Carrières et points'!$C$9)+(HLOOKUP(D29,'Carrières et points'!$A$20:$AD$60,F29+2,FALSE)*'Carrières et points'!$C$13*'Carrières et points'!$C$15))/12*(1+'F0 - Données générales'!$L$13))*E29)</f>
        <v/>
      </c>
      <c r="K29" s="118" t="str">
        <f t="shared" si="6"/>
        <v/>
      </c>
      <c r="L29" s="109"/>
      <c r="M29" s="177"/>
      <c r="N29" s="118" t="str">
        <f t="shared" si="0"/>
        <v/>
      </c>
      <c r="O29" s="177"/>
      <c r="P29" s="177"/>
      <c r="Q29" s="177"/>
      <c r="R29" s="255" t="str">
        <f t="shared" si="7"/>
        <v/>
      </c>
      <c r="S29" s="120"/>
      <c r="T29" s="742" t="s">
        <v>61</v>
      </c>
      <c r="U29" s="742"/>
      <c r="V29" s="26" t="s">
        <v>98</v>
      </c>
      <c r="W29" s="741"/>
      <c r="X29" s="741"/>
      <c r="Y29" s="181">
        <f>SUMIFS('F3 - Relevé du personnel'!$E$4:$E$281,'F3 - Relevé du personnel'!$D$4:$D$281,$V29,'F3 - Relevé du personnel'!$C$4:$C$281,'F0 - Données générales'!$K$31,'F3 - Relevé du personnel'!$B$4:$B$281,7)</f>
        <v>0</v>
      </c>
      <c r="Z29" s="181">
        <f>SUMIFS('F3 - Relevé du personnel'!$H$4:$H$281,'F3 - Relevé du personnel'!$D$4:$D$281,$V29,'F3 - Relevé du personnel'!$C$4:$C$281,'F0 - Données générales'!$K$31,'F3 - Relevé du personnel'!$B$4:$B$281,7)</f>
        <v>0</v>
      </c>
      <c r="AA29" s="256">
        <f>SUMIFS('F3 - Relevé du personnel'!$I$4:$I$281,'F3 - Relevé du personnel'!$D$4:$D$281,$V29,'F3 - Relevé du personnel'!$C$4:$C$281,'F0 - Données générales'!$K$31,'F3 - Relevé du personnel'!$B$4:$B$281,7)</f>
        <v>0</v>
      </c>
      <c r="AB29" s="256">
        <f>SUMIFS('F3 - Relevé du personnel'!$M$4:$M$281,'F3 - Relevé du personnel'!$D$4:$D$281,$V29,'F3 - Relevé du personnel'!$C$4:$C$281,'F0 - Données générales'!$K$31,'F3 - Relevé du personnel'!$B$4:$B$281,7)</f>
        <v>0</v>
      </c>
      <c r="AC29" s="196">
        <f t="shared" si="1"/>
        <v>0</v>
      </c>
      <c r="AD29" s="256">
        <f>SUMIFS('F3 - Relevé du personnel'!$O$4:$O$281,'F3 - Relevé du personnel'!$D$4:$D$281,$V29,'F3 - Relevé du personnel'!$C$4:$C$281,'F0 - Données générales'!$K$31,'F3 - Relevé du personnel'!$B$4:$B$281,7)</f>
        <v>0</v>
      </c>
      <c r="AE29" s="256">
        <f>SUMIFS('F3 - Relevé du personnel'!$P$4:$P$281,'F3 - Relevé du personnel'!$D$4:$D$281,$V29,'F3 - Relevé du personnel'!$C$4:$C$281,'F0 - Données générales'!$K$31,'F3 - Relevé du personnel'!$B$4:$B$281,7)</f>
        <v>0</v>
      </c>
      <c r="AF29" s="256">
        <f>SUMIFS('F3 - Relevé du personnel'!$Q$4:$Q$281,'F3 - Relevé du personnel'!$D$4:$D$281,$V29,'F3 - Relevé du personnel'!$C$4:$C$281,'F0 - Données générales'!$K$31,'F3 - Relevé du personnel'!$B$4:$B$281,7)</f>
        <v>0</v>
      </c>
      <c r="AG29" s="182">
        <f t="shared" si="2"/>
        <v>0</v>
      </c>
      <c r="AH29" s="197" t="str">
        <f t="shared" si="8"/>
        <v/>
      </c>
      <c r="AI29" s="198" t="str">
        <f>IF(Y29=0,"",(SUMPRODUCT(($D$4:$D$253=V29)*($C$4:$C$253='F0 - Données générales'!$K$31)*($E$4:$E$253)*($F$4:$F$253)*($B$4:$B$253=7))+SUMPRODUCT(($D$257:$D$281=V29)*($C$257:$C$281='F0 - Données générales'!$K$31)*($B$257:$B$281=7)*($E$257:$E$281)*($F$257:$F$281)))/(SUMIFS('F3 - Relevé du personnel'!$E$4:$E$281,'F3 - Relevé du personnel'!$D$4:$D$281,$V29,'F3 - Relevé du personnel'!$C$4:$C$281,'F0 - Données générales'!$K$31,'F3 - Relevé du personnel'!$B$4:$B$281,7)))</f>
        <v/>
      </c>
      <c r="AJ29" s="120"/>
      <c r="AK29" s="742" t="s">
        <v>61</v>
      </c>
      <c r="AL29" s="742"/>
      <c r="AM29" s="26" t="s">
        <v>98</v>
      </c>
      <c r="AN29" s="741"/>
      <c r="AO29" s="741"/>
      <c r="AP29" s="181">
        <f>SUMIFS('F3 - Relevé du personnel'!$E$4:$E$281,'F3 - Relevé du personnel'!$D$4:$D$281,$AM29,'F3 - Relevé du personnel'!$C$4:$C$281,'F0 - Données générales'!$K$31,'F3 - Relevé du personnel'!$B$4:$B$281,"base-ortho")</f>
        <v>0</v>
      </c>
      <c r="AQ29" s="181">
        <f>SUMIFS('F3 - Relevé du personnel'!$H$4:$H$281,'F3 - Relevé du personnel'!$D$4:$D$281,$AM29,'F3 - Relevé du personnel'!$C$4:$C$281,'F0 - Données générales'!$K$31,'F3 - Relevé du personnel'!$B$4:$B$281,"base-ortho")</f>
        <v>0</v>
      </c>
      <c r="AR29" s="256">
        <f>SUMIFS('F3 - Relevé du personnel'!$I$4:$I$281,'F3 - Relevé du personnel'!$D$4:$D$281,$AM29,'F3 - Relevé du personnel'!$C$4:$C$281,'F0 - Données générales'!$K$31,'F3 - Relevé du personnel'!$B$4:$B$281,"base-ortho")</f>
        <v>0</v>
      </c>
      <c r="AS29" s="256">
        <f>SUMIFS('F3 - Relevé du personnel'!$M$4:$M$281,'F3 - Relevé du personnel'!$D$4:$D$281,$AM29,'F3 - Relevé du personnel'!$C$4:$C$281,'F0 - Données générales'!$K$31,'F3 - Relevé du personnel'!$B$4:$B$281,"base-ortho")</f>
        <v>0</v>
      </c>
      <c r="AT29" s="196">
        <f t="shared" si="21"/>
        <v>0</v>
      </c>
      <c r="AU29" s="256">
        <f>SUMIFS('F3 - Relevé du personnel'!$O$4:$O$281,'F3 - Relevé du personnel'!$D$4:$D$281,$AM29,'F3 - Relevé du personnel'!$C$4:$C$281,'F0 - Données générales'!$K$31,'F3 - Relevé du personnel'!$B$4:$B$281,"base-ortho")</f>
        <v>0</v>
      </c>
      <c r="AV29" s="256">
        <f>SUMIFS('F3 - Relevé du personnel'!$P$4:$P$281,'F3 - Relevé du personnel'!$D$4:$D$281,$AM29,'F3 - Relevé du personnel'!$C$4:$C$281,'F0 - Données générales'!$K$31,'F3 - Relevé du personnel'!$B$4:$B$281,"base-ortho")</f>
        <v>0</v>
      </c>
      <c r="AW29" s="256">
        <f>SUMIFS('F3 - Relevé du personnel'!$Q$4:$Q$281,'F3 - Relevé du personnel'!$D$4:$D$281,$AM29,'F3 - Relevé du personnel'!$C$4:$C$281,'F0 - Données générales'!$K$31,'F3 - Relevé du personnel'!$B$4:$B$281,"base-ortho")</f>
        <v>0</v>
      </c>
      <c r="AX29" s="182">
        <f t="shared" si="22"/>
        <v>0</v>
      </c>
      <c r="AY29" s="197" t="str">
        <f t="shared" si="17"/>
        <v/>
      </c>
      <c r="AZ29" s="198" t="str">
        <f>IF(AP29=0,"",(SUMPRODUCT(($D$4:$D$253=AM29)*($C$4:$C$253='F0 - Données générales'!$K$31)*($E$4:$E$253)*($F$4:$F$253)*($B$4:$B$253="base-ortho"))+SUMPRODUCT(($D$257:$D$281=AM29)*($C$257:$C$281='F0 - Données générales'!$K$31)*($B$257:$B$281="base-ortho")*($E$257:$E$281)*($F$257:$F$281)))/(SUMIFS('F3 - Relevé du personnel'!$E$4:$E$281,'F3 - Relevé du personnel'!$D$4:$D$281,$AM29,'F3 - Relevé du personnel'!$C$4:$C$281,'F0 - Données générales'!$K$31,'F3 - Relevé du personnel'!$B$4:$B$281,"base-ortho")))</f>
        <v/>
      </c>
      <c r="BA29" s="120"/>
      <c r="BB29" s="796" t="s">
        <v>61</v>
      </c>
      <c r="BC29" s="797"/>
      <c r="BD29" s="26" t="s">
        <v>98</v>
      </c>
      <c r="BE29" s="801"/>
      <c r="BF29" s="802"/>
      <c r="BG29" s="181">
        <f>SUMIFS('F3 - Relevé du personnel'!$E$4:$E$281,'F3 - Relevé du personnel'!$D$4:$D$281,$BD29,'F3 - Relevé du personnel'!$C$4:$C$281,'F0 - Données générales'!$K$31)</f>
        <v>0</v>
      </c>
      <c r="BH29" s="181">
        <f>SUMIFS('F3 - Relevé du personnel'!$H$4:$H$281,'F3 - Relevé du personnel'!$D$4:$D$281,$BD29,'F3 - Relevé du personnel'!$C$4:$C$281,'F0 - Données générales'!$K$31)</f>
        <v>0</v>
      </c>
      <c r="BI29" s="256">
        <f>SUMIFS('F3 - Relevé du personnel'!$I$4:$I$281,'F3 - Relevé du personnel'!$D$4:$D$281,$BD29,'F3 - Relevé du personnel'!$C$4:$C$281,'F0 - Données générales'!$K$31)</f>
        <v>0</v>
      </c>
      <c r="BJ29" s="256">
        <f>SUMIFS('F3 - Relevé du personnel'!$M$4:$M$281,'F3 - Relevé du personnel'!$D$4:$D$281,$BD29,'F3 - Relevé du personnel'!$C$4:$C$281,'F0 - Données générales'!$K$31)</f>
        <v>0</v>
      </c>
      <c r="BK29" s="196">
        <f t="shared" si="3"/>
        <v>0</v>
      </c>
      <c r="BL29" s="256">
        <f>SUMIFS('F3 - Relevé du personnel'!$O$4:$O$281,'F3 - Relevé du personnel'!$D$4:$D$281,$BD29,'F3 - Relevé du personnel'!$C$4:$C$281,'F0 - Données générales'!$K$31)</f>
        <v>0</v>
      </c>
      <c r="BM29" s="256">
        <f>SUMIFS('F3 - Relevé du personnel'!$P$4:$P$281,'F3 - Relevé du personnel'!$D$4:$D$281,$BD29,'F3 - Relevé du personnel'!$C$4:$C$281,'F0 - Données générales'!$K$31)</f>
        <v>0</v>
      </c>
      <c r="BN29" s="256">
        <f>SUMIFS('F3 - Relevé du personnel'!$Q$4:$Q$281,'F3 - Relevé du personnel'!$D$4:$D$281,$BD29,'F3 - Relevé du personnel'!$C$4:$C$281,'F0 - Données générales'!$K$31)</f>
        <v>0</v>
      </c>
      <c r="BO29" s="182">
        <f t="shared" si="4"/>
        <v>0</v>
      </c>
      <c r="BP29" s="197" t="str">
        <f t="shared" si="12"/>
        <v/>
      </c>
      <c r="BQ29" s="198" t="str">
        <f>IF(BG29=0,"",(SUMPRODUCT(($D$4:$D$253=BD29)*($C$4:$C$253='F0 - Données générales'!$K$31)*($E$4:$E$253)*($F$4:$F$253))+SUMPRODUCT(($D$257:$D$281=BD29)*($C$257:$C$281='F0 - Données générales'!$K$31)*($E$257:$E$281)*($F$257:$F$281)))/(SUMIFS('F3 - Relevé du personnel'!$E$4:$E$281,'F3 - Relevé du personnel'!$D$4:$D$281,$BD29,'F3 - Relevé du personnel'!$C$4:$C$281,'F0 - Données générales'!$K$31)))</f>
        <v/>
      </c>
      <c r="BR29" s="40"/>
      <c r="BS29" s="786"/>
      <c r="BT29" s="787"/>
      <c r="BU29" s="95" t="s">
        <v>232</v>
      </c>
      <c r="BV29" s="136" t="e">
        <f ca="1">IF('F0 - Données générales'!$H$5="","",IF('F0 - Données générales'!$H$5="horaire",BV27/'F2 - Données facturation'!$AA$20,IF('F0 - Données générales'!$H$5="journalier",BV27/'F2 - Données facturation'!$Y$30)))</f>
        <v>#DIV/0!</v>
      </c>
      <c r="BW29" s="136" t="e">
        <f ca="1">IF('F0 - Données générales'!$H$5="","",IF('F0 - Données générales'!$H$5="horaire",BW27/'F2 - Données facturation'!$AA$20,IF('F0 - Données générales'!$H$5="journalier",BW27/'F2 - Données facturation'!$Y$30)))</f>
        <v>#DIV/0!</v>
      </c>
      <c r="BX29" s="136" t="e">
        <f ca="1">IF('F0 - Données générales'!$H$5="","",IF('F0 - Données générales'!$H$5="horaire",BX27/'F2 - Données facturation'!$AA$20,IF('F0 - Données générales'!$H$5="journalier",BX27/'F2 - Données facturation'!$Y$30)))</f>
        <v>#DIV/0!</v>
      </c>
      <c r="BY29" s="136" t="e">
        <f ca="1">IF('F0 - Données générales'!$H$5="","",IF('F0 - Données générales'!$H$5="horaire",BY27/'F2 - Données facturation'!$AA$20,IF('F0 - Données générales'!$H$5="journalier",BY27/'F2 - Données facturation'!$Y$30)))</f>
        <v>#DIV/0!</v>
      </c>
      <c r="BZ29" s="99" t="e">
        <f ca="1">IF('F0 - Données générales'!$H$5="","",IF('F0 - Données générales'!$H$5="horaire",BZ27/'F2 - Données facturation'!$AA$20,IF('F0 - Données générales'!$H$5="journalier",BZ27/'F2 - Données facturation'!$Y$30)))</f>
        <v>#DIV/0!</v>
      </c>
    </row>
    <row r="30" spans="1:78" x14ac:dyDescent="0.3">
      <c r="A30" s="106">
        <v>27</v>
      </c>
      <c r="B30" s="324">
        <f>'F0 - Données générales'!$C$4</f>
        <v>7</v>
      </c>
      <c r="C30" s="106" t="s">
        <v>95</v>
      </c>
      <c r="D30" s="106"/>
      <c r="E30" s="107"/>
      <c r="F30" s="108"/>
      <c r="G30" s="109"/>
      <c r="H30" s="110">
        <f t="shared" si="5"/>
        <v>0</v>
      </c>
      <c r="I30" s="177"/>
      <c r="J30" s="118" t="str">
        <f>IF(OR(D30="",F30=""),"",(((HLOOKUP(D30,'Carrières et points'!$A$20:$AD$60,F30+2,FALSE)*'Carrières et points'!$C$7*'Carrières et points'!$C$9)+(HLOOKUP(D30,'Carrières et points'!$A$20:$AD$60,F30+2,FALSE)*'Carrières et points'!$C$13*'Carrières et points'!$C$15))*(1+'F0 - Données générales'!$I$4)+((HLOOKUP(D30,'Carrières et points'!$A$20:$AD$60,F30+2,FALSE)*'Carrières et points'!$C$7*'Carrières et points'!$C$9)+(HLOOKUP(D30,'Carrières et points'!$A$20:$AD$60,F30+2,FALSE)*'Carrières et points'!$C$13*'Carrières et points'!$C$15))/12*(1+'F0 - Données générales'!$L$13))*E30)</f>
        <v/>
      </c>
      <c r="K30" s="118" t="str">
        <f t="shared" si="6"/>
        <v/>
      </c>
      <c r="L30" s="109"/>
      <c r="M30" s="177"/>
      <c r="N30" s="118" t="str">
        <f t="shared" si="0"/>
        <v/>
      </c>
      <c r="O30" s="177"/>
      <c r="P30" s="177"/>
      <c r="Q30" s="177"/>
      <c r="R30" s="255" t="str">
        <f t="shared" si="7"/>
        <v/>
      </c>
      <c r="S30" s="120"/>
      <c r="T30" s="742" t="s">
        <v>61</v>
      </c>
      <c r="U30" s="742"/>
      <c r="V30" s="26" t="s">
        <v>319</v>
      </c>
      <c r="W30" s="741"/>
      <c r="X30" s="741"/>
      <c r="Y30" s="181">
        <f>SUMIFS('F3 - Relevé du personnel'!$E$4:$E$281,'F3 - Relevé du personnel'!$D$4:$D$281,$V30,'F3 - Relevé du personnel'!$C$4:$C$281,'F0 - Données générales'!$K$31,'F3 - Relevé du personnel'!$B$4:$B$281,7)</f>
        <v>0</v>
      </c>
      <c r="Z30" s="181">
        <f>SUMIFS('F3 - Relevé du personnel'!$H$4:$H$281,'F3 - Relevé du personnel'!$D$4:$D$281,$V30,'F3 - Relevé du personnel'!$C$4:$C$281,'F0 - Données générales'!$K$31,'F3 - Relevé du personnel'!$B$4:$B$281,7)</f>
        <v>0</v>
      </c>
      <c r="AA30" s="256">
        <f>SUMIFS('F3 - Relevé du personnel'!$I$4:$I$281,'F3 - Relevé du personnel'!$D$4:$D$281,$V30,'F3 - Relevé du personnel'!$C$4:$C$281,'F0 - Données générales'!$K$31,'F3 - Relevé du personnel'!$B$4:$B$281,7)</f>
        <v>0</v>
      </c>
      <c r="AB30" s="256">
        <f>SUMIFS('F3 - Relevé du personnel'!$M$4:$M$281,'F3 - Relevé du personnel'!$D$4:$D$281,$V30,'F3 - Relevé du personnel'!$C$4:$C$281,'F0 - Données générales'!$K$31,'F3 - Relevé du personnel'!$B$4:$B$281,7)</f>
        <v>0</v>
      </c>
      <c r="AC30" s="196">
        <f t="shared" si="1"/>
        <v>0</v>
      </c>
      <c r="AD30" s="256">
        <f>SUMIFS('F3 - Relevé du personnel'!$O$4:$O$281,'F3 - Relevé du personnel'!$D$4:$D$281,$V30,'F3 - Relevé du personnel'!$C$4:$C$281,'F0 - Données générales'!$K$31,'F3 - Relevé du personnel'!$B$4:$B$281,7)</f>
        <v>0</v>
      </c>
      <c r="AE30" s="256">
        <f>SUMIFS('F3 - Relevé du personnel'!$P$4:$P$281,'F3 - Relevé du personnel'!$D$4:$D$281,$V30,'F3 - Relevé du personnel'!$C$4:$C$281,'F0 - Données générales'!$K$31,'F3 - Relevé du personnel'!$B$4:$B$281,7)</f>
        <v>0</v>
      </c>
      <c r="AF30" s="256">
        <f>SUMIFS('F3 - Relevé du personnel'!$Q$4:$Q$281,'F3 - Relevé du personnel'!$D$4:$D$281,$V30,'F3 - Relevé du personnel'!$C$4:$C$281,'F0 - Données générales'!$K$31,'F3 - Relevé du personnel'!$B$4:$B$281,7)</f>
        <v>0</v>
      </c>
      <c r="AG30" s="182">
        <f t="shared" si="2"/>
        <v>0</v>
      </c>
      <c r="AH30" s="197" t="str">
        <f t="shared" si="8"/>
        <v/>
      </c>
      <c r="AI30" s="198" t="str">
        <f>IF(Y30=0,"",(SUMPRODUCT(($D$4:$D$253=V30)*($C$4:$C$253='F0 - Données générales'!$K$31)*($E$4:$E$253)*($F$4:$F$253)*($B$4:$B$253=7))+SUMPRODUCT(($D$257:$D$281=V30)*($C$257:$C$281='F0 - Données générales'!$K$31)*($B$257:$B$281=7)*($E$257:$E$281)*($F$257:$F$281)))/(SUMIFS('F3 - Relevé du personnel'!$E$4:$E$281,'F3 - Relevé du personnel'!$D$4:$D$281,$V30,'F3 - Relevé du personnel'!$C$4:$C$281,'F0 - Données générales'!$K$31,'F3 - Relevé du personnel'!$B$4:$B$281,7)))</f>
        <v/>
      </c>
      <c r="AJ30" s="120"/>
      <c r="AK30" s="742" t="s">
        <v>61</v>
      </c>
      <c r="AL30" s="742"/>
      <c r="AM30" s="26" t="s">
        <v>319</v>
      </c>
      <c r="AN30" s="741"/>
      <c r="AO30" s="741"/>
      <c r="AP30" s="181">
        <f>SUMIFS('F3 - Relevé du personnel'!$E$4:$E$281,'F3 - Relevé du personnel'!$D$4:$D$281,$AM30,'F3 - Relevé du personnel'!$C$4:$C$281,'F0 - Données générales'!$K$31,'F3 - Relevé du personnel'!$B$4:$B$281,"base-ortho")</f>
        <v>0</v>
      </c>
      <c r="AQ30" s="181">
        <f>SUMIFS('F3 - Relevé du personnel'!$H$4:$H$281,'F3 - Relevé du personnel'!$D$4:$D$281,$AM30,'F3 - Relevé du personnel'!$C$4:$C$281,'F0 - Données générales'!$K$31,'F3 - Relevé du personnel'!$B$4:$B$281,"base-ortho")</f>
        <v>0</v>
      </c>
      <c r="AR30" s="256">
        <f>SUMIFS('F3 - Relevé du personnel'!$I$4:$I$281,'F3 - Relevé du personnel'!$D$4:$D$281,$AM30,'F3 - Relevé du personnel'!$C$4:$C$281,'F0 - Données générales'!$K$31,'F3 - Relevé du personnel'!$B$4:$B$281,"base-ortho")</f>
        <v>0</v>
      </c>
      <c r="AS30" s="256">
        <f>SUMIFS('F3 - Relevé du personnel'!$M$4:$M$281,'F3 - Relevé du personnel'!$D$4:$D$281,$AM30,'F3 - Relevé du personnel'!$C$4:$C$281,'F0 - Données générales'!$K$31,'F3 - Relevé du personnel'!$B$4:$B$281,"base-ortho")</f>
        <v>0</v>
      </c>
      <c r="AT30" s="196">
        <f t="shared" si="21"/>
        <v>0</v>
      </c>
      <c r="AU30" s="256">
        <f>SUMIFS('F3 - Relevé du personnel'!$O$4:$O$281,'F3 - Relevé du personnel'!$D$4:$D$281,$AM30,'F3 - Relevé du personnel'!$C$4:$C$281,'F0 - Données générales'!$K$31,'F3 - Relevé du personnel'!$B$4:$B$281,"base-ortho")</f>
        <v>0</v>
      </c>
      <c r="AV30" s="256">
        <f>SUMIFS('F3 - Relevé du personnel'!$P$4:$P$281,'F3 - Relevé du personnel'!$D$4:$D$281,$AM30,'F3 - Relevé du personnel'!$C$4:$C$281,'F0 - Données générales'!$K$31,'F3 - Relevé du personnel'!$B$4:$B$281,"base-ortho")</f>
        <v>0</v>
      </c>
      <c r="AW30" s="256">
        <f>SUMIFS('F3 - Relevé du personnel'!$Q$4:$Q$281,'F3 - Relevé du personnel'!$D$4:$D$281,$AM30,'F3 - Relevé du personnel'!$C$4:$C$281,'F0 - Données générales'!$K$31,'F3 - Relevé du personnel'!$B$4:$B$281,"base-ortho")</f>
        <v>0</v>
      </c>
      <c r="AX30" s="182">
        <f t="shared" si="22"/>
        <v>0</v>
      </c>
      <c r="AY30" s="197" t="str">
        <f t="shared" si="17"/>
        <v/>
      </c>
      <c r="AZ30" s="198" t="str">
        <f>IF(AP30=0,"",(SUMPRODUCT(($D$4:$D$253=AM30)*($C$4:$C$253='F0 - Données générales'!$K$31)*($E$4:$E$253)*($F$4:$F$253)*($B$4:$B$253="base-ortho"))+SUMPRODUCT(($D$257:$D$281=AM30)*($C$257:$C$281='F0 - Données générales'!$K$31)*($B$257:$B$281="base-ortho")*($E$257:$E$281)*($F$257:$F$281)))/(SUMIFS('F3 - Relevé du personnel'!$E$4:$E$281,'F3 - Relevé du personnel'!$D$4:$D$281,$AM30,'F3 - Relevé du personnel'!$C$4:$C$281,'F0 - Données générales'!$K$31,'F3 - Relevé du personnel'!$B$4:$B$281,"base-ortho")))</f>
        <v/>
      </c>
      <c r="BA30" s="120"/>
      <c r="BB30" s="796" t="s">
        <v>61</v>
      </c>
      <c r="BC30" s="797"/>
      <c r="BD30" s="26" t="s">
        <v>319</v>
      </c>
      <c r="BE30" s="801"/>
      <c r="BF30" s="802"/>
      <c r="BG30" s="181">
        <f>SUMIFS('F3 - Relevé du personnel'!$E$4:$E$281,'F3 - Relevé du personnel'!$D$4:$D$281,$BD30,'F3 - Relevé du personnel'!$C$4:$C$281,'F0 - Données générales'!$K$31)</f>
        <v>0</v>
      </c>
      <c r="BH30" s="181">
        <f>SUMIFS('F3 - Relevé du personnel'!$H$4:$H$281,'F3 - Relevé du personnel'!$D$4:$D$281,$BD30,'F3 - Relevé du personnel'!$C$4:$C$281,'F0 - Données générales'!$K$31)</f>
        <v>0</v>
      </c>
      <c r="BI30" s="256">
        <f>SUMIFS('F3 - Relevé du personnel'!$I$4:$I$281,'F3 - Relevé du personnel'!$D$4:$D$281,$BD30,'F3 - Relevé du personnel'!$C$4:$C$281,'F0 - Données générales'!$K$31)</f>
        <v>0</v>
      </c>
      <c r="BJ30" s="256">
        <f>SUMIFS('F3 - Relevé du personnel'!$M$4:$M$281,'F3 - Relevé du personnel'!$D$4:$D$281,$BD30,'F3 - Relevé du personnel'!$C$4:$C$281,'F0 - Données générales'!$K$31)</f>
        <v>0</v>
      </c>
      <c r="BK30" s="196">
        <f t="shared" si="3"/>
        <v>0</v>
      </c>
      <c r="BL30" s="256">
        <f>SUMIFS('F3 - Relevé du personnel'!$O$4:$O$281,'F3 - Relevé du personnel'!$D$4:$D$281,$BD30,'F3 - Relevé du personnel'!$C$4:$C$281,'F0 - Données générales'!$K$31)</f>
        <v>0</v>
      </c>
      <c r="BM30" s="256">
        <f>SUMIFS('F3 - Relevé du personnel'!$P$4:$P$281,'F3 - Relevé du personnel'!$D$4:$D$281,$BD30,'F3 - Relevé du personnel'!$C$4:$C$281,'F0 - Données générales'!$K$31)</f>
        <v>0</v>
      </c>
      <c r="BN30" s="256">
        <f>SUMIFS('F3 - Relevé du personnel'!$Q$4:$Q$281,'F3 - Relevé du personnel'!$D$4:$D$281,$BD30,'F3 - Relevé du personnel'!$C$4:$C$281,'F0 - Données générales'!$K$31)</f>
        <v>0</v>
      </c>
      <c r="BO30" s="182">
        <f t="shared" si="4"/>
        <v>0</v>
      </c>
      <c r="BP30" s="197" t="str">
        <f t="shared" si="12"/>
        <v/>
      </c>
      <c r="BQ30" s="198" t="str">
        <f>IF(BG30=0,"",(SUMPRODUCT(($D$4:$D$253=BD30)*($C$4:$C$253='F0 - Données générales'!$K$31)*($E$4:$E$253)*($F$4:$F$253))+SUMPRODUCT(($D$257:$D$281=BD30)*($C$257:$C$281='F0 - Données générales'!$K$31)*($E$257:$E$281)*($F$257:$F$281)))/(SUMIFS('F3 - Relevé du personnel'!$E$4:$E$281,'F3 - Relevé du personnel'!$D$4:$D$281,$BD30,'F3 - Relevé du personnel'!$C$4:$C$281,'F0 - Données générales'!$K$31)))</f>
        <v/>
      </c>
      <c r="BR30" s="40"/>
      <c r="BS30" s="784" t="s">
        <v>61</v>
      </c>
      <c r="BT30" s="785"/>
      <c r="BU30" s="91" t="s">
        <v>231</v>
      </c>
      <c r="BV30" s="134">
        <f ca="1">SUMIF($BB$4:$BC$32,$BS30,BO$4:BO$32)</f>
        <v>0</v>
      </c>
      <c r="BW30" s="134">
        <f ca="1">SUMIF($BB$43:$BC$71,$BS30,$BN$43:$BN$71)</f>
        <v>0</v>
      </c>
      <c r="BX30" s="134">
        <f ca="1">SUMIF($BB$82:$BC$110,$BS30,$BN$82:$BN$110)</f>
        <v>0</v>
      </c>
      <c r="BY30" s="134">
        <f ca="1">SUMIF($BB$121:$BC$149,$BS30,$BN$121:$BN$149)</f>
        <v>0</v>
      </c>
      <c r="BZ30" s="96">
        <f ca="1">SUM(BV30:BY30)</f>
        <v>0</v>
      </c>
    </row>
    <row r="31" spans="1:78" x14ac:dyDescent="0.3">
      <c r="A31" s="106">
        <v>28</v>
      </c>
      <c r="B31" s="324">
        <f>'F0 - Données générales'!$C$4</f>
        <v>7</v>
      </c>
      <c r="C31" s="106" t="s">
        <v>95</v>
      </c>
      <c r="D31" s="106"/>
      <c r="E31" s="107"/>
      <c r="F31" s="108"/>
      <c r="G31" s="109"/>
      <c r="H31" s="110">
        <f t="shared" si="5"/>
        <v>0</v>
      </c>
      <c r="I31" s="177"/>
      <c r="J31" s="118" t="str">
        <f>IF(OR(D31="",F31=""),"",(((HLOOKUP(D31,'Carrières et points'!$A$20:$AD$60,F31+2,FALSE)*'Carrières et points'!$C$7*'Carrières et points'!$C$9)+(HLOOKUP(D31,'Carrières et points'!$A$20:$AD$60,F31+2,FALSE)*'Carrières et points'!$C$13*'Carrières et points'!$C$15))*(1+'F0 - Données générales'!$I$4)+((HLOOKUP(D31,'Carrières et points'!$A$20:$AD$60,F31+2,FALSE)*'Carrières et points'!$C$7*'Carrières et points'!$C$9)+(HLOOKUP(D31,'Carrières et points'!$A$20:$AD$60,F31+2,FALSE)*'Carrières et points'!$C$13*'Carrières et points'!$C$15))/12*(1+'F0 - Données générales'!$L$13))*E31)</f>
        <v/>
      </c>
      <c r="K31" s="118" t="str">
        <f t="shared" si="6"/>
        <v/>
      </c>
      <c r="L31" s="109"/>
      <c r="M31" s="177"/>
      <c r="N31" s="118" t="str">
        <f t="shared" si="0"/>
        <v/>
      </c>
      <c r="O31" s="177"/>
      <c r="P31" s="177"/>
      <c r="Q31" s="177"/>
      <c r="R31" s="255" t="str">
        <f t="shared" si="7"/>
        <v/>
      </c>
      <c r="S31" s="120"/>
      <c r="T31" s="742" t="s">
        <v>61</v>
      </c>
      <c r="U31" s="742"/>
      <c r="V31" s="26" t="s">
        <v>99</v>
      </c>
      <c r="W31" s="741"/>
      <c r="X31" s="741"/>
      <c r="Y31" s="181">
        <f>SUMIFS('F3 - Relevé du personnel'!$E$4:$E$281,'F3 - Relevé du personnel'!$D$4:$D$281,$V31,'F3 - Relevé du personnel'!$C$4:$C$281,'F0 - Données générales'!$K$31,'F3 - Relevé du personnel'!$B$4:$B$281,7)</f>
        <v>0</v>
      </c>
      <c r="Z31" s="181">
        <f>SUMIFS('F3 - Relevé du personnel'!$H$4:$H$281,'F3 - Relevé du personnel'!$D$4:$D$281,$V31,'F3 - Relevé du personnel'!$C$4:$C$281,'F0 - Données générales'!$K$31,'F3 - Relevé du personnel'!$B$4:$B$281,7)</f>
        <v>0</v>
      </c>
      <c r="AA31" s="256">
        <f>SUMIFS('F3 - Relevé du personnel'!$I$4:$I$281,'F3 - Relevé du personnel'!$D$4:$D$281,$V31,'F3 - Relevé du personnel'!$C$4:$C$281,'F0 - Données générales'!$K$31,'F3 - Relevé du personnel'!$B$4:$B$281,7)</f>
        <v>0</v>
      </c>
      <c r="AB31" s="256">
        <f>SUMIFS('F3 - Relevé du personnel'!$M$4:$M$281,'F3 - Relevé du personnel'!$D$4:$D$281,$V31,'F3 - Relevé du personnel'!$C$4:$C$281,'F0 - Données générales'!$K$31,'F3 - Relevé du personnel'!$B$4:$B$281,7)</f>
        <v>0</v>
      </c>
      <c r="AC31" s="196">
        <f t="shared" si="1"/>
        <v>0</v>
      </c>
      <c r="AD31" s="256">
        <f>SUMIFS('F3 - Relevé du personnel'!$O$4:$O$281,'F3 - Relevé du personnel'!$D$4:$D$281,$V31,'F3 - Relevé du personnel'!$C$4:$C$281,'F0 - Données générales'!$K$31,'F3 - Relevé du personnel'!$B$4:$B$281,7)</f>
        <v>0</v>
      </c>
      <c r="AE31" s="256">
        <f>SUMIFS('F3 - Relevé du personnel'!$P$4:$P$281,'F3 - Relevé du personnel'!$D$4:$D$281,$V31,'F3 - Relevé du personnel'!$C$4:$C$281,'F0 - Données générales'!$K$31,'F3 - Relevé du personnel'!$B$4:$B$281,7)</f>
        <v>0</v>
      </c>
      <c r="AF31" s="256">
        <f>SUMIFS('F3 - Relevé du personnel'!$Q$4:$Q$281,'F3 - Relevé du personnel'!$D$4:$D$281,$V31,'F3 - Relevé du personnel'!$C$4:$C$281,'F0 - Données générales'!$K$31,'F3 - Relevé du personnel'!$B$4:$B$281,7)</f>
        <v>0</v>
      </c>
      <c r="AG31" s="182">
        <f t="shared" si="2"/>
        <v>0</v>
      </c>
      <c r="AH31" s="197" t="str">
        <f t="shared" si="8"/>
        <v/>
      </c>
      <c r="AI31" s="198" t="str">
        <f>IF(Y31=0,"",(SUMPRODUCT(($D$4:$D$253=V31)*($C$4:$C$253='F0 - Données générales'!$K$31)*($E$4:$E$253)*($F$4:$F$253)*($B$4:$B$253=7))+SUMPRODUCT(($D$257:$D$281=V31)*($C$257:$C$281='F0 - Données générales'!$K$31)*($B$257:$B$281=7)*($E$257:$E$281)*($F$257:$F$281)))/(SUMIFS('F3 - Relevé du personnel'!$E$4:$E$281,'F3 - Relevé du personnel'!$D$4:$D$281,$V31,'F3 - Relevé du personnel'!$C$4:$C$281,'F0 - Données générales'!$K$31,'F3 - Relevé du personnel'!$B$4:$B$281,7)))</f>
        <v/>
      </c>
      <c r="AJ31" s="120"/>
      <c r="AK31" s="742" t="s">
        <v>61</v>
      </c>
      <c r="AL31" s="742"/>
      <c r="AM31" s="26" t="s">
        <v>99</v>
      </c>
      <c r="AN31" s="741"/>
      <c r="AO31" s="741"/>
      <c r="AP31" s="181">
        <f>SUMIFS('F3 - Relevé du personnel'!$E$4:$E$281,'F3 - Relevé du personnel'!$D$4:$D$281,$AM31,'F3 - Relevé du personnel'!$C$4:$C$281,'F0 - Données générales'!$K$31,'F3 - Relevé du personnel'!$B$4:$B$281,"base-ortho")</f>
        <v>0</v>
      </c>
      <c r="AQ31" s="181">
        <f>SUMIFS('F3 - Relevé du personnel'!$H$4:$H$281,'F3 - Relevé du personnel'!$D$4:$D$281,$AM31,'F3 - Relevé du personnel'!$C$4:$C$281,'F0 - Données générales'!$K$31,'F3 - Relevé du personnel'!$B$4:$B$281,"base-ortho")</f>
        <v>0</v>
      </c>
      <c r="AR31" s="256">
        <f>SUMIFS('F3 - Relevé du personnel'!$I$4:$I$281,'F3 - Relevé du personnel'!$D$4:$D$281,$AM31,'F3 - Relevé du personnel'!$C$4:$C$281,'F0 - Données générales'!$K$31,'F3 - Relevé du personnel'!$B$4:$B$281,"base-ortho")</f>
        <v>0</v>
      </c>
      <c r="AS31" s="256">
        <f>SUMIFS('F3 - Relevé du personnel'!$M$4:$M$281,'F3 - Relevé du personnel'!$D$4:$D$281,$AM31,'F3 - Relevé du personnel'!$C$4:$C$281,'F0 - Données générales'!$K$31,'F3 - Relevé du personnel'!$B$4:$B$281,"base-ortho")</f>
        <v>0</v>
      </c>
      <c r="AT31" s="196">
        <f t="shared" si="21"/>
        <v>0</v>
      </c>
      <c r="AU31" s="256">
        <f>SUMIFS('F3 - Relevé du personnel'!$O$4:$O$281,'F3 - Relevé du personnel'!$D$4:$D$281,$AM31,'F3 - Relevé du personnel'!$C$4:$C$281,'F0 - Données générales'!$K$31,'F3 - Relevé du personnel'!$B$4:$B$281,"base-ortho")</f>
        <v>0</v>
      </c>
      <c r="AV31" s="256">
        <f>SUMIFS('F3 - Relevé du personnel'!$P$4:$P$281,'F3 - Relevé du personnel'!$D$4:$D$281,$AM31,'F3 - Relevé du personnel'!$C$4:$C$281,'F0 - Données générales'!$K$31,'F3 - Relevé du personnel'!$B$4:$B$281,"base-ortho")</f>
        <v>0</v>
      </c>
      <c r="AW31" s="256">
        <f>SUMIFS('F3 - Relevé du personnel'!$Q$4:$Q$281,'F3 - Relevé du personnel'!$D$4:$D$281,$AM31,'F3 - Relevé du personnel'!$C$4:$C$281,'F0 - Données générales'!$K$31,'F3 - Relevé du personnel'!$B$4:$B$281,"base-ortho")</f>
        <v>0</v>
      </c>
      <c r="AX31" s="182">
        <f t="shared" si="22"/>
        <v>0</v>
      </c>
      <c r="AY31" s="197" t="str">
        <f t="shared" si="17"/>
        <v/>
      </c>
      <c r="AZ31" s="198" t="str">
        <f>IF(AP31=0,"",(SUMPRODUCT(($D$4:$D$253=AM31)*($C$4:$C$253='F0 - Données générales'!$K$31)*($E$4:$E$253)*($F$4:$F$253)*($B$4:$B$253="base-ortho"))+SUMPRODUCT(($D$257:$D$281=AM31)*($C$257:$C$281='F0 - Données générales'!$K$31)*($B$257:$B$281="base-ortho")*($E$257:$E$281)*($F$257:$F$281)))/(SUMIFS('F3 - Relevé du personnel'!$E$4:$E$281,'F3 - Relevé du personnel'!$D$4:$D$281,$AM31,'F3 - Relevé du personnel'!$C$4:$C$281,'F0 - Données générales'!$K$31,'F3 - Relevé du personnel'!$B$4:$B$281,"base-ortho")))</f>
        <v/>
      </c>
      <c r="BA31" s="120"/>
      <c r="BB31" s="796" t="s">
        <v>61</v>
      </c>
      <c r="BC31" s="797"/>
      <c r="BD31" s="26" t="s">
        <v>99</v>
      </c>
      <c r="BE31" s="801"/>
      <c r="BF31" s="802"/>
      <c r="BG31" s="181">
        <f>SUMIFS('F3 - Relevé du personnel'!$E$4:$E$281,'F3 - Relevé du personnel'!$D$4:$D$281,$BD31,'F3 - Relevé du personnel'!$C$4:$C$281,'F0 - Données générales'!$K$31)</f>
        <v>0</v>
      </c>
      <c r="BH31" s="181">
        <f>SUMIFS('F3 - Relevé du personnel'!$H$4:$H$281,'F3 - Relevé du personnel'!$D$4:$D$281,$BD31,'F3 - Relevé du personnel'!$C$4:$C$281,'F0 - Données générales'!$K$31)</f>
        <v>0</v>
      </c>
      <c r="BI31" s="256">
        <f>SUMIFS('F3 - Relevé du personnel'!$I$4:$I$281,'F3 - Relevé du personnel'!$D$4:$D$281,$BD31,'F3 - Relevé du personnel'!$C$4:$C$281,'F0 - Données générales'!$K$31)</f>
        <v>0</v>
      </c>
      <c r="BJ31" s="256">
        <f>SUMIFS('F3 - Relevé du personnel'!$M$4:$M$281,'F3 - Relevé du personnel'!$D$4:$D$281,$BD31,'F3 - Relevé du personnel'!$C$4:$C$281,'F0 - Données générales'!$K$31)</f>
        <v>0</v>
      </c>
      <c r="BK31" s="196">
        <f t="shared" si="3"/>
        <v>0</v>
      </c>
      <c r="BL31" s="256">
        <f>SUMIFS('F3 - Relevé du personnel'!$O$4:$O$281,'F3 - Relevé du personnel'!$D$4:$D$281,$BD31,'F3 - Relevé du personnel'!$C$4:$C$281,'F0 - Données générales'!$K$31)</f>
        <v>0</v>
      </c>
      <c r="BM31" s="256">
        <f>SUMIFS('F3 - Relevé du personnel'!$P$4:$P$281,'F3 - Relevé du personnel'!$D$4:$D$281,$BD31,'F3 - Relevé du personnel'!$C$4:$C$281,'F0 - Données générales'!$K$31)</f>
        <v>0</v>
      </c>
      <c r="BN31" s="256">
        <f>SUMIFS('F3 - Relevé du personnel'!$Q$4:$Q$281,'F3 - Relevé du personnel'!$D$4:$D$281,$BD31,'F3 - Relevé du personnel'!$C$4:$C$281,'F0 - Données générales'!$K$31)</f>
        <v>0</v>
      </c>
      <c r="BO31" s="182">
        <f t="shared" si="4"/>
        <v>0</v>
      </c>
      <c r="BP31" s="197" t="str">
        <f t="shared" si="12"/>
        <v/>
      </c>
      <c r="BQ31" s="198" t="str">
        <f>IF(BG31=0,"",(SUMPRODUCT(($D$4:$D$253=BD31)*($C$4:$C$253='F0 - Données générales'!$K$31)*($E$4:$E$253)*($F$4:$F$253))+SUMPRODUCT(($D$257:$D$281=BD31)*($C$257:$C$281='F0 - Données générales'!$K$31)*($E$257:$E$281)*($F$257:$F$281)))/(SUMIFS('F3 - Relevé du personnel'!$E$4:$E$281,'F3 - Relevé du personnel'!$D$4:$D$281,$BD31,'F3 - Relevé du personnel'!$C$4:$C$281,'F0 - Données générales'!$K$31)))</f>
        <v/>
      </c>
      <c r="BR31" s="40"/>
      <c r="BS31" s="792"/>
      <c r="BT31" s="793"/>
      <c r="BU31" s="97" t="s">
        <v>415</v>
      </c>
      <c r="BV31" s="135" t="str">
        <f ca="1">IF(BW10=0,"",BV30/BW10)</f>
        <v/>
      </c>
      <c r="BW31" s="135" t="str">
        <f ca="1">IF(BX10=0,"",BW30/BX10)</f>
        <v/>
      </c>
      <c r="BX31" s="135" t="str">
        <f ca="1">IF(BY10=0,"",BX30/BY10)</f>
        <v/>
      </c>
      <c r="BY31" s="135" t="str">
        <f ca="1">IF(BZ10=0,"",BY30/BZ10)</f>
        <v/>
      </c>
      <c r="BZ31" s="98" t="str">
        <f ca="1">IF(CA10=0,"",BZ30/CA10)</f>
        <v/>
      </c>
    </row>
    <row r="32" spans="1:78" x14ac:dyDescent="0.3">
      <c r="A32" s="106">
        <v>29</v>
      </c>
      <c r="B32" s="324">
        <f>'F0 - Données générales'!$C$4</f>
        <v>7</v>
      </c>
      <c r="C32" s="106" t="s">
        <v>95</v>
      </c>
      <c r="D32" s="106"/>
      <c r="E32" s="107"/>
      <c r="F32" s="108"/>
      <c r="G32" s="109"/>
      <c r="H32" s="110">
        <f t="shared" si="5"/>
        <v>0</v>
      </c>
      <c r="I32" s="177"/>
      <c r="J32" s="118" t="str">
        <f>IF(OR(D32="",F32=""),"",(((HLOOKUP(D32,'Carrières et points'!$A$20:$AD$60,F32+2,FALSE)*'Carrières et points'!$C$7*'Carrières et points'!$C$9)+(HLOOKUP(D32,'Carrières et points'!$A$20:$AD$60,F32+2,FALSE)*'Carrières et points'!$C$13*'Carrières et points'!$C$15))*(1+'F0 - Données générales'!$I$4)+((HLOOKUP(D32,'Carrières et points'!$A$20:$AD$60,F32+2,FALSE)*'Carrières et points'!$C$7*'Carrières et points'!$C$9)+(HLOOKUP(D32,'Carrières et points'!$A$20:$AD$60,F32+2,FALSE)*'Carrières et points'!$C$13*'Carrières et points'!$C$15))/12*(1+'F0 - Données générales'!$L$13))*E32)</f>
        <v/>
      </c>
      <c r="K32" s="118" t="str">
        <f t="shared" si="6"/>
        <v/>
      </c>
      <c r="L32" s="109"/>
      <c r="M32" s="177"/>
      <c r="N32" s="118" t="str">
        <f t="shared" si="0"/>
        <v/>
      </c>
      <c r="O32" s="177"/>
      <c r="P32" s="177"/>
      <c r="Q32" s="177"/>
      <c r="R32" s="255" t="str">
        <f t="shared" si="7"/>
        <v/>
      </c>
      <c r="S32" s="120"/>
      <c r="T32" s="742" t="s">
        <v>61</v>
      </c>
      <c r="U32" s="742"/>
      <c r="V32" s="26" t="s">
        <v>100</v>
      </c>
      <c r="W32" s="741"/>
      <c r="X32" s="741"/>
      <c r="Y32" s="181">
        <f>SUMIFS('F3 - Relevé du personnel'!$E$4:$E$281,'F3 - Relevé du personnel'!$D$4:$D$281,$V32,'F3 - Relevé du personnel'!$C$4:$C$281,'F0 - Données générales'!$K$31,'F3 - Relevé du personnel'!$B$4:$B$281,7)</f>
        <v>0</v>
      </c>
      <c r="Z32" s="181">
        <f>SUMIFS('F3 - Relevé du personnel'!$H$4:$H$281,'F3 - Relevé du personnel'!$D$4:$D$281,$V32,'F3 - Relevé du personnel'!$C$4:$C$281,'F0 - Données générales'!$K$31,'F3 - Relevé du personnel'!$B$4:$B$281,7)</f>
        <v>0</v>
      </c>
      <c r="AA32" s="256">
        <f>SUMIFS('F3 - Relevé du personnel'!$I$4:$I$281,'F3 - Relevé du personnel'!$D$4:$D$281,$V32,'F3 - Relevé du personnel'!$C$4:$C$281,'F0 - Données générales'!$K$31,'F3 - Relevé du personnel'!$B$4:$B$281,7)</f>
        <v>0</v>
      </c>
      <c r="AB32" s="256">
        <f>SUMIFS('F3 - Relevé du personnel'!$M$4:$M$281,'F3 - Relevé du personnel'!$D$4:$D$281,$V32,'F3 - Relevé du personnel'!$C$4:$C$281,'F0 - Données générales'!$K$31,'F3 - Relevé du personnel'!$B$4:$B$281,7)</f>
        <v>0</v>
      </c>
      <c r="AC32" s="196">
        <f t="shared" si="1"/>
        <v>0</v>
      </c>
      <c r="AD32" s="256">
        <f>SUMIFS('F3 - Relevé du personnel'!$O$4:$O$281,'F3 - Relevé du personnel'!$D$4:$D$281,$V32,'F3 - Relevé du personnel'!$C$4:$C$281,'F0 - Données générales'!$K$31,'F3 - Relevé du personnel'!$B$4:$B$281,7)</f>
        <v>0</v>
      </c>
      <c r="AE32" s="256">
        <f>SUMIFS('F3 - Relevé du personnel'!$P$4:$P$281,'F3 - Relevé du personnel'!$D$4:$D$281,$V32,'F3 - Relevé du personnel'!$C$4:$C$281,'F0 - Données générales'!$K$31,'F3 - Relevé du personnel'!$B$4:$B$281,7)</f>
        <v>0</v>
      </c>
      <c r="AF32" s="256">
        <f>SUMIFS('F3 - Relevé du personnel'!$Q$4:$Q$281,'F3 - Relevé du personnel'!$D$4:$D$281,$V32,'F3 - Relevé du personnel'!$C$4:$C$281,'F0 - Données générales'!$K$31,'F3 - Relevé du personnel'!$B$4:$B$281,7)</f>
        <v>0</v>
      </c>
      <c r="AG32" s="182">
        <f t="shared" si="2"/>
        <v>0</v>
      </c>
      <c r="AH32" s="197" t="str">
        <f t="shared" si="8"/>
        <v/>
      </c>
      <c r="AI32" s="198" t="str">
        <f>IF(Y32=0,"",(SUMPRODUCT(($D$4:$D$253=V32)*($C$4:$C$253='F0 - Données générales'!$K$31)*($E$4:$E$253)*($F$4:$F$253)*($B$4:$B$253=7))+SUMPRODUCT(($D$257:$D$281=V32)*($C$257:$C$281='F0 - Données générales'!$K$31)*($B$257:$B$281=7)*($E$257:$E$281)*($F$257:$F$281)))/(SUMIFS('F3 - Relevé du personnel'!$E$4:$E$281,'F3 - Relevé du personnel'!$D$4:$D$281,$V32,'F3 - Relevé du personnel'!$C$4:$C$281,'F0 - Données générales'!$K$31,'F3 - Relevé du personnel'!$B$4:$B$281,7)))</f>
        <v/>
      </c>
      <c r="AJ32" s="120"/>
      <c r="AK32" s="742" t="s">
        <v>61</v>
      </c>
      <c r="AL32" s="742"/>
      <c r="AM32" s="26" t="s">
        <v>100</v>
      </c>
      <c r="AN32" s="741"/>
      <c r="AO32" s="741"/>
      <c r="AP32" s="181">
        <f>SUMIFS('F3 - Relevé du personnel'!$E$4:$E$281,'F3 - Relevé du personnel'!$D$4:$D$281,$AM32,'F3 - Relevé du personnel'!$C$4:$C$281,'F0 - Données générales'!$K$31,'F3 - Relevé du personnel'!$B$4:$B$281,"base-ortho")</f>
        <v>0</v>
      </c>
      <c r="AQ32" s="181">
        <f>SUMIFS('F3 - Relevé du personnel'!$H$4:$H$281,'F3 - Relevé du personnel'!$D$4:$D$281,$AM32,'F3 - Relevé du personnel'!$C$4:$C$281,'F0 - Données générales'!$K$31,'F3 - Relevé du personnel'!$B$4:$B$281,"base-ortho")</f>
        <v>0</v>
      </c>
      <c r="AR32" s="256">
        <f>SUMIFS('F3 - Relevé du personnel'!$I$4:$I$281,'F3 - Relevé du personnel'!$D$4:$D$281,$AM32,'F3 - Relevé du personnel'!$C$4:$C$281,'F0 - Données générales'!$K$31,'F3 - Relevé du personnel'!$B$4:$B$281,"base-ortho")</f>
        <v>0</v>
      </c>
      <c r="AS32" s="256">
        <f>SUMIFS('F3 - Relevé du personnel'!$M$4:$M$281,'F3 - Relevé du personnel'!$D$4:$D$281,$AM32,'F3 - Relevé du personnel'!$C$4:$C$281,'F0 - Données générales'!$K$31,'F3 - Relevé du personnel'!$B$4:$B$281,"base-ortho")</f>
        <v>0</v>
      </c>
      <c r="AT32" s="196">
        <f t="shared" si="21"/>
        <v>0</v>
      </c>
      <c r="AU32" s="256">
        <f>SUMIFS('F3 - Relevé du personnel'!$O$4:$O$281,'F3 - Relevé du personnel'!$D$4:$D$281,$AM32,'F3 - Relevé du personnel'!$C$4:$C$281,'F0 - Données générales'!$K$31,'F3 - Relevé du personnel'!$B$4:$B$281,"base-ortho")</f>
        <v>0</v>
      </c>
      <c r="AV32" s="256">
        <f>SUMIFS('F3 - Relevé du personnel'!$P$4:$P$281,'F3 - Relevé du personnel'!$D$4:$D$281,$AM32,'F3 - Relevé du personnel'!$C$4:$C$281,'F0 - Données générales'!$K$31,'F3 - Relevé du personnel'!$B$4:$B$281,"base-ortho")</f>
        <v>0</v>
      </c>
      <c r="AW32" s="256">
        <f>SUMIFS('F3 - Relevé du personnel'!$Q$4:$Q$281,'F3 - Relevé du personnel'!$D$4:$D$281,$AM32,'F3 - Relevé du personnel'!$C$4:$C$281,'F0 - Données générales'!$K$31,'F3 - Relevé du personnel'!$B$4:$B$281,"base-ortho")</f>
        <v>0</v>
      </c>
      <c r="AX32" s="182">
        <f t="shared" si="22"/>
        <v>0</v>
      </c>
      <c r="AY32" s="197" t="str">
        <f t="shared" si="17"/>
        <v/>
      </c>
      <c r="AZ32" s="198" t="str">
        <f>IF(AP32=0,"",(SUMPRODUCT(($D$4:$D$253=AM32)*($C$4:$C$253='F0 - Données générales'!$K$31)*($E$4:$E$253)*($F$4:$F$253)*($B$4:$B$253="base-ortho"))+SUMPRODUCT(($D$257:$D$281=AM32)*($C$257:$C$281='F0 - Données générales'!$K$31)*($B$257:$B$281="base-ortho")*($E$257:$E$281)*($F$257:$F$281)))/(SUMIFS('F3 - Relevé du personnel'!$E$4:$E$281,'F3 - Relevé du personnel'!$D$4:$D$281,$AM32,'F3 - Relevé du personnel'!$C$4:$C$281,'F0 - Données générales'!$K$31,'F3 - Relevé du personnel'!$B$4:$B$281,"base-ortho")))</f>
        <v/>
      </c>
      <c r="BA32" s="120"/>
      <c r="BB32" s="796" t="s">
        <v>61</v>
      </c>
      <c r="BC32" s="797"/>
      <c r="BD32" s="26" t="s">
        <v>100</v>
      </c>
      <c r="BE32" s="801"/>
      <c r="BF32" s="802"/>
      <c r="BG32" s="181">
        <f>SUMIFS('F3 - Relevé du personnel'!$E$4:$E$281,'F3 - Relevé du personnel'!$D$4:$D$281,$BD32,'F3 - Relevé du personnel'!$C$4:$C$281,'F0 - Données générales'!$K$31)</f>
        <v>0</v>
      </c>
      <c r="BH32" s="181">
        <f>SUMIFS('F3 - Relevé du personnel'!$H$4:$H$281,'F3 - Relevé du personnel'!$D$4:$D$281,$BD32,'F3 - Relevé du personnel'!$C$4:$C$281,'F0 - Données générales'!$K$31)</f>
        <v>0</v>
      </c>
      <c r="BI32" s="256">
        <f>SUMIFS('F3 - Relevé du personnel'!$I$4:$I$281,'F3 - Relevé du personnel'!$D$4:$D$281,$BD32,'F3 - Relevé du personnel'!$C$4:$C$281,'F0 - Données générales'!$K$31)</f>
        <v>0</v>
      </c>
      <c r="BJ32" s="256">
        <f>SUMIFS('F3 - Relevé du personnel'!$M$4:$M$281,'F3 - Relevé du personnel'!$D$4:$D$281,$BD32,'F3 - Relevé du personnel'!$C$4:$C$281,'F0 - Données générales'!$K$31)</f>
        <v>0</v>
      </c>
      <c r="BK32" s="196">
        <f t="shared" si="3"/>
        <v>0</v>
      </c>
      <c r="BL32" s="256">
        <f>SUMIFS('F3 - Relevé du personnel'!$O$4:$O$281,'F3 - Relevé du personnel'!$D$4:$D$281,$BD32,'F3 - Relevé du personnel'!$C$4:$C$281,'F0 - Données générales'!$K$31)</f>
        <v>0</v>
      </c>
      <c r="BM32" s="256">
        <f>SUMIFS('F3 - Relevé du personnel'!$P$4:$P$281,'F3 - Relevé du personnel'!$D$4:$D$281,$BD32,'F3 - Relevé du personnel'!$C$4:$C$281,'F0 - Données générales'!$K$31)</f>
        <v>0</v>
      </c>
      <c r="BN32" s="256">
        <f>SUMIFS('F3 - Relevé du personnel'!$Q$4:$Q$281,'F3 - Relevé du personnel'!$D$4:$D$281,$BD32,'F3 - Relevé du personnel'!$C$4:$C$281,'F0 - Données générales'!$K$31)</f>
        <v>0</v>
      </c>
      <c r="BO32" s="182">
        <f t="shared" si="4"/>
        <v>0</v>
      </c>
      <c r="BP32" s="197" t="str">
        <f t="shared" si="12"/>
        <v/>
      </c>
      <c r="BQ32" s="198" t="str">
        <f>IF(BG32=0,"",(SUMPRODUCT(($D$4:$D$253=BD32)*($C$4:$C$253='F0 - Données générales'!$K$31)*($E$4:$E$253)*($F$4:$F$253))+SUMPRODUCT(($D$257:$D$281=BD32)*($C$257:$C$281='F0 - Données générales'!$K$31)*($E$257:$E$281)*($F$257:$F$281)))/(SUMIFS('F3 - Relevé du personnel'!$E$4:$E$281,'F3 - Relevé du personnel'!$D$4:$D$281,$BD32,'F3 - Relevé du personnel'!$C$4:$C$281,'F0 - Données générales'!$K$31)))</f>
        <v/>
      </c>
      <c r="BR32" s="40"/>
      <c r="BS32" s="786"/>
      <c r="BT32" s="787"/>
      <c r="BU32" s="95" t="s">
        <v>232</v>
      </c>
      <c r="BV32" s="136" t="e">
        <f ca="1">IF('F0 - Données générales'!$H$5="","",IF('F0 - Données générales'!$H$5="horaire",BV30/'F2 - Données facturation'!$AA$20,IF('F0 - Données générales'!$H$5="journalier",BV30/'F2 - Données facturation'!$Y$30)))</f>
        <v>#DIV/0!</v>
      </c>
      <c r="BW32" s="136" t="e">
        <f ca="1">IF('F0 - Données générales'!$H$5="","",IF('F0 - Données générales'!$H$5="horaire",BW30/'F2 - Données facturation'!$AA$20,IF('F0 - Données générales'!$H$5="journalier",BW30/'F2 - Données facturation'!$Y$30)))</f>
        <v>#DIV/0!</v>
      </c>
      <c r="BX32" s="136" t="e">
        <f ca="1">IF('F0 - Données générales'!$H$5="","",IF('F0 - Données générales'!$H$5="horaire",BX30/'F2 - Données facturation'!$AA$20,IF('F0 - Données générales'!$H$5="journalier",BX30/'F2 - Données facturation'!$Y$30)))</f>
        <v>#DIV/0!</v>
      </c>
      <c r="BY32" s="136" t="e">
        <f ca="1">IF('F0 - Données générales'!$H$5="","",IF('F0 - Données générales'!$H$5="horaire",BY30/'F2 - Données facturation'!$AA$20,IF('F0 - Données générales'!$H$5="journalier",BY30/'F2 - Données facturation'!$Y$30)))</f>
        <v>#DIV/0!</v>
      </c>
      <c r="BZ32" s="99" t="e">
        <f ca="1">IF('F0 - Données générales'!$H$5="","",IF('F0 - Données générales'!$H$5="horaire",BZ30/'F2 - Données facturation'!$AA$20,IF('F0 - Données générales'!$H$5="journalier",BZ30/'F2 - Données facturation'!$Y$30)))</f>
        <v>#DIV/0!</v>
      </c>
    </row>
    <row r="33" spans="1:80" x14ac:dyDescent="0.3">
      <c r="A33" s="106">
        <v>30</v>
      </c>
      <c r="B33" s="324">
        <f>'F0 - Données générales'!$C$4</f>
        <v>7</v>
      </c>
      <c r="C33" s="106" t="s">
        <v>95</v>
      </c>
      <c r="D33" s="106"/>
      <c r="E33" s="107"/>
      <c r="F33" s="108"/>
      <c r="G33" s="109"/>
      <c r="H33" s="110">
        <f t="shared" si="5"/>
        <v>0</v>
      </c>
      <c r="I33" s="177"/>
      <c r="J33" s="118" t="str">
        <f>IF(OR(D33="",F33=""),"",(((HLOOKUP(D33,'Carrières et points'!$A$20:$AD$60,F33+2,FALSE)*'Carrières et points'!$C$7*'Carrières et points'!$C$9)+(HLOOKUP(D33,'Carrières et points'!$A$20:$AD$60,F33+2,FALSE)*'Carrières et points'!$C$13*'Carrières et points'!$C$15))*(1+'F0 - Données générales'!$I$4)+((HLOOKUP(D33,'Carrières et points'!$A$20:$AD$60,F33+2,FALSE)*'Carrières et points'!$C$7*'Carrières et points'!$C$9)+(HLOOKUP(D33,'Carrières et points'!$A$20:$AD$60,F33+2,FALSE)*'Carrières et points'!$C$13*'Carrières et points'!$C$15))/12*(1+'F0 - Données générales'!$L$13))*E33)</f>
        <v/>
      </c>
      <c r="K33" s="118" t="str">
        <f t="shared" si="6"/>
        <v/>
      </c>
      <c r="L33" s="109"/>
      <c r="M33" s="177"/>
      <c r="N33" s="118" t="str">
        <f t="shared" si="0"/>
        <v/>
      </c>
      <c r="O33" s="177"/>
      <c r="P33" s="177"/>
      <c r="Q33" s="177"/>
      <c r="R33" s="255" t="str">
        <f t="shared" si="7"/>
        <v/>
      </c>
      <c r="S33" s="120"/>
      <c r="T33" s="743"/>
      <c r="U33" s="743"/>
      <c r="V33" s="749" t="s">
        <v>168</v>
      </c>
      <c r="W33" s="749"/>
      <c r="X33" s="749"/>
      <c r="Y33" s="199">
        <f>SUM(Y23:Y32)</f>
        <v>0</v>
      </c>
      <c r="Z33" s="199">
        <f>SUM(Z23:Z32)</f>
        <v>0</v>
      </c>
      <c r="AA33" s="200">
        <f>SUM(AA23:AA32)</f>
        <v>0</v>
      </c>
      <c r="AB33" s="200">
        <f>SUM(AB23:AB32)</f>
        <v>0</v>
      </c>
      <c r="AC33" s="200">
        <f t="shared" si="1"/>
        <v>0</v>
      </c>
      <c r="AD33" s="200">
        <f>SUM(AD23:AD32)</f>
        <v>0</v>
      </c>
      <c r="AE33" s="200">
        <f>SUM(AE23:AE32)</f>
        <v>0</v>
      </c>
      <c r="AF33" s="200">
        <f>SUM(AF23:AF32)</f>
        <v>0</v>
      </c>
      <c r="AG33" s="201">
        <f t="shared" si="2"/>
        <v>0</v>
      </c>
      <c r="AH33" s="201" t="str">
        <f t="shared" si="8"/>
        <v/>
      </c>
      <c r="AI33" s="202"/>
      <c r="AJ33" s="120"/>
      <c r="AK33" s="743"/>
      <c r="AL33" s="743"/>
      <c r="AM33" s="749" t="s">
        <v>168</v>
      </c>
      <c r="AN33" s="749"/>
      <c r="AO33" s="749"/>
      <c r="AP33" s="199">
        <f>SUM(AP23:AP32)</f>
        <v>0</v>
      </c>
      <c r="AQ33" s="199">
        <f>SUM(AQ23:AQ32)</f>
        <v>0</v>
      </c>
      <c r="AR33" s="200">
        <f>SUM(AR23:AR32)</f>
        <v>0</v>
      </c>
      <c r="AS33" s="200">
        <f>SUM(AS23:AS32)</f>
        <v>0</v>
      </c>
      <c r="AT33" s="200">
        <f>(AR33+AS33)</f>
        <v>0</v>
      </c>
      <c r="AU33" s="200">
        <f>SUM(AU23:AU32)</f>
        <v>0</v>
      </c>
      <c r="AV33" s="200">
        <f>SUM(AV23:AV32)</f>
        <v>0</v>
      </c>
      <c r="AW33" s="200">
        <f>SUM(AW23:AW32)</f>
        <v>0</v>
      </c>
      <c r="AX33" s="201">
        <f>AR33+AS33-SUM(AU33:AW33)</f>
        <v>0</v>
      </c>
      <c r="AY33" s="201" t="str">
        <f t="shared" si="17"/>
        <v/>
      </c>
      <c r="AZ33" s="202"/>
      <c r="BA33" s="120"/>
      <c r="BB33" s="764"/>
      <c r="BC33" s="765"/>
      <c r="BD33" s="798" t="s">
        <v>168</v>
      </c>
      <c r="BE33" s="799"/>
      <c r="BF33" s="800"/>
      <c r="BG33" s="199">
        <f>SUM(BG23:BG32)</f>
        <v>0</v>
      </c>
      <c r="BH33" s="199">
        <f>SUM(BH23:BH32)</f>
        <v>0</v>
      </c>
      <c r="BI33" s="200">
        <f>SUM(BI23:BI32)</f>
        <v>0</v>
      </c>
      <c r="BJ33" s="200">
        <f>SUM(BJ23:BJ32)</f>
        <v>0</v>
      </c>
      <c r="BK33" s="200">
        <f t="shared" si="3"/>
        <v>0</v>
      </c>
      <c r="BL33" s="200">
        <f>SUM(BL23:BL32)</f>
        <v>0</v>
      </c>
      <c r="BM33" s="200">
        <f>SUM(BM23:BM32)</f>
        <v>0</v>
      </c>
      <c r="BN33" s="200">
        <f>SUM(BN23:BN32)</f>
        <v>0</v>
      </c>
      <c r="BO33" s="201">
        <f t="shared" si="4"/>
        <v>0</v>
      </c>
      <c r="BP33" s="201" t="str">
        <f t="shared" si="12"/>
        <v/>
      </c>
      <c r="BQ33" s="202"/>
      <c r="BR33" s="40"/>
      <c r="BS33" s="788" t="s">
        <v>57</v>
      </c>
      <c r="BT33" s="789"/>
      <c r="BU33" s="35" t="s">
        <v>231</v>
      </c>
      <c r="BV33" s="55">
        <f ca="1">SUM(BV21,BV24,BV27,BV30)</f>
        <v>0</v>
      </c>
      <c r="BW33" s="55">
        <f ca="1">SUM(BW21,BW24,BW27,BW30)</f>
        <v>0</v>
      </c>
      <c r="BX33" s="55">
        <f ca="1">SUM(BX21,BX24,BX27,BX30)</f>
        <v>0</v>
      </c>
      <c r="BY33" s="55">
        <f ca="1">SUM(BY21,BY24,BY27,BY30)</f>
        <v>0</v>
      </c>
      <c r="BZ33" s="56">
        <f ca="1">SUM(BV33:BY33)</f>
        <v>0</v>
      </c>
    </row>
    <row r="34" spans="1:80" x14ac:dyDescent="0.3">
      <c r="A34" s="106">
        <v>31</v>
      </c>
      <c r="B34" s="324">
        <f>'F0 - Données générales'!$C$4</f>
        <v>7</v>
      </c>
      <c r="C34" s="106" t="s">
        <v>95</v>
      </c>
      <c r="D34" s="106"/>
      <c r="E34" s="107"/>
      <c r="F34" s="108"/>
      <c r="G34" s="109"/>
      <c r="H34" s="110">
        <f t="shared" si="5"/>
        <v>0</v>
      </c>
      <c r="I34" s="177"/>
      <c r="J34" s="118" t="str">
        <f>IF(OR(D34="",F34=""),"",(((HLOOKUP(D34,'Carrières et points'!$A$20:$AD$60,F34+2,FALSE)*'Carrières et points'!$C$7*'Carrières et points'!$C$9)+(HLOOKUP(D34,'Carrières et points'!$A$20:$AD$60,F34+2,FALSE)*'Carrières et points'!$C$13*'Carrières et points'!$C$15))*(1+'F0 - Données générales'!$I$4)+((HLOOKUP(D34,'Carrières et points'!$A$20:$AD$60,F34+2,FALSE)*'Carrières et points'!$C$7*'Carrières et points'!$C$9)+(HLOOKUP(D34,'Carrières et points'!$A$20:$AD$60,F34+2,FALSE)*'Carrières et points'!$C$13*'Carrières et points'!$C$15))/12*(1+'F0 - Données générales'!$L$13))*E34)</f>
        <v/>
      </c>
      <c r="K34" s="118" t="str">
        <f t="shared" si="6"/>
        <v/>
      </c>
      <c r="L34" s="109"/>
      <c r="M34" s="177"/>
      <c r="N34" s="118" t="str">
        <f t="shared" si="0"/>
        <v/>
      </c>
      <c r="O34" s="177"/>
      <c r="P34" s="177"/>
      <c r="Q34" s="177"/>
      <c r="R34" s="255" t="str">
        <f t="shared" si="7"/>
        <v/>
      </c>
      <c r="S34" s="120"/>
      <c r="T34" s="750" t="s">
        <v>57</v>
      </c>
      <c r="U34" s="750"/>
      <c r="V34" s="750"/>
      <c r="W34" s="750"/>
      <c r="X34" s="750"/>
      <c r="Y34" s="183">
        <f t="shared" ref="Y34:AG34" si="23">Y13+Y20+Y22+Y33</f>
        <v>0</v>
      </c>
      <c r="Z34" s="183">
        <f t="shared" si="23"/>
        <v>0</v>
      </c>
      <c r="AA34" s="184">
        <f t="shared" si="23"/>
        <v>0</v>
      </c>
      <c r="AB34" s="184">
        <f t="shared" si="23"/>
        <v>0</v>
      </c>
      <c r="AC34" s="184">
        <f t="shared" si="23"/>
        <v>0</v>
      </c>
      <c r="AD34" s="184">
        <f t="shared" si="23"/>
        <v>0</v>
      </c>
      <c r="AE34" s="184">
        <f t="shared" si="23"/>
        <v>0</v>
      </c>
      <c r="AF34" s="184">
        <f t="shared" si="23"/>
        <v>0</v>
      </c>
      <c r="AG34" s="185">
        <f t="shared" si="23"/>
        <v>0</v>
      </c>
      <c r="AH34" s="185" t="str">
        <f t="shared" si="8"/>
        <v/>
      </c>
      <c r="AI34" s="186" t="str">
        <f>IF(Y34=0,"",(SUMPRODUCT(($C$4:$C$253='F0 - Données générales'!$K$31)*($E$4:$E$253)*($F$4:$F$253)*($B$4:$B$253=7))+SUMPRODUCT(($C$257:$C$281='F0 - Données générales'!$K$31)*($B$257:$B$281=7)*($E$257:$E$281)*($F$257:$F$281)))/(SUMIFS('F3 - Relevé du personnel'!$E$4:$E$281,'F3 - Relevé du personnel'!$C$4:$C$281,'F0 - Données générales'!$K$31,'F3 - Relevé du personnel'!$B$4:$B$281,7)))</f>
        <v/>
      </c>
      <c r="AJ34" s="120"/>
      <c r="AK34" s="750" t="s">
        <v>57</v>
      </c>
      <c r="AL34" s="750"/>
      <c r="AM34" s="750"/>
      <c r="AN34" s="750"/>
      <c r="AO34" s="750"/>
      <c r="AP34" s="183">
        <f t="shared" ref="AP34:AX34" si="24">AP13+AP20+AP22+AP33</f>
        <v>0</v>
      </c>
      <c r="AQ34" s="183">
        <f t="shared" si="24"/>
        <v>0</v>
      </c>
      <c r="AR34" s="184">
        <f t="shared" si="24"/>
        <v>0</v>
      </c>
      <c r="AS34" s="184">
        <f t="shared" si="24"/>
        <v>0</v>
      </c>
      <c r="AT34" s="184">
        <f t="shared" si="24"/>
        <v>0</v>
      </c>
      <c r="AU34" s="184">
        <f t="shared" si="24"/>
        <v>0</v>
      </c>
      <c r="AV34" s="184">
        <f t="shared" si="24"/>
        <v>0</v>
      </c>
      <c r="AW34" s="184">
        <f t="shared" si="24"/>
        <v>0</v>
      </c>
      <c r="AX34" s="185">
        <f t="shared" si="24"/>
        <v>0</v>
      </c>
      <c r="AY34" s="185" t="str">
        <f t="shared" si="17"/>
        <v/>
      </c>
      <c r="AZ34" s="186" t="str">
        <f>IF(AP34=0,"",(SUMPRODUCT(($C$4:$C$253='F0 - Données générales'!$K$31)*($E$4:$E$253)*($F$4:$F$253)*($B$4:$B$253="base-ortho"))+SUMPRODUCT(($C$257:$C$281='F0 - Données générales'!$K$31)*($B$257:$B$281="base-ortho")*($E$257:$E$281)*($F$257:$F$281)))/(SUMIFS('F3 - Relevé du personnel'!$E$4:$E$281,'F3 - Relevé du personnel'!$C$4:$C$281,'F0 - Données générales'!$K$31,'F3 - Relevé du personnel'!$B$4:$B$281,"base-ortho")))</f>
        <v/>
      </c>
      <c r="BA34" s="120"/>
      <c r="BB34" s="774" t="s">
        <v>57</v>
      </c>
      <c r="BC34" s="775"/>
      <c r="BD34" s="775"/>
      <c r="BE34" s="775"/>
      <c r="BF34" s="776"/>
      <c r="BG34" s="183">
        <f>BG13+BG20+BG22+BG33</f>
        <v>0</v>
      </c>
      <c r="BH34" s="183">
        <f>BH13+BH20+BH22+BH33</f>
        <v>0</v>
      </c>
      <c r="BI34" s="184">
        <f t="shared" ref="BI34:BO34" si="25">BI13+BI20+BI22+BI33</f>
        <v>0</v>
      </c>
      <c r="BJ34" s="184">
        <f t="shared" si="25"/>
        <v>0</v>
      </c>
      <c r="BK34" s="184">
        <f t="shared" si="25"/>
        <v>0</v>
      </c>
      <c r="BL34" s="184">
        <f t="shared" si="25"/>
        <v>0</v>
      </c>
      <c r="BM34" s="184">
        <f t="shared" si="25"/>
        <v>0</v>
      </c>
      <c r="BN34" s="184">
        <f t="shared" si="25"/>
        <v>0</v>
      </c>
      <c r="BO34" s="185">
        <f t="shared" si="25"/>
        <v>0</v>
      </c>
      <c r="BP34" s="185" t="str">
        <f t="shared" si="12"/>
        <v/>
      </c>
      <c r="BQ34" s="186" t="str">
        <f>IF(BG34=0,"",(SUMPRODUCT(($C$4:$C$253='F0 - Données générales'!$K$31)*($E$4:$E$253)*($F$4:$F$253))+SUMPRODUCT(($C$257:$C$281='F0 - Données générales'!$K$31)*($E$257:$E$281)*($F$257:$F$281)))/SUMIFS($E$4:$E$281,$C$4:$C$281,'F0 - Données générales'!$K$31))</f>
        <v/>
      </c>
      <c r="BR34" s="40"/>
      <c r="BS34" s="794"/>
      <c r="BT34" s="795"/>
      <c r="BU34" s="36" t="s">
        <v>415</v>
      </c>
      <c r="BV34" s="57" t="str">
        <f ca="1">IF(BW12=0,"",BV33/BW12)</f>
        <v/>
      </c>
      <c r="BW34" s="57" t="str">
        <f ca="1">IF(BX12=0,"",BW33/BX12)</f>
        <v/>
      </c>
      <c r="BX34" s="57" t="str">
        <f ca="1">IF(BY12=0,"",BX33/BY12)</f>
        <v/>
      </c>
      <c r="BY34" s="57" t="str">
        <f ca="1">IF(BZ12=0,"",BY33/BZ12)</f>
        <v/>
      </c>
      <c r="BZ34" s="58" t="str">
        <f ca="1">IF(CA12=0,"",BZ33/CA12)</f>
        <v/>
      </c>
    </row>
    <row r="35" spans="1:80" x14ac:dyDescent="0.3">
      <c r="A35" s="106">
        <v>32</v>
      </c>
      <c r="B35" s="324">
        <f>'F0 - Données générales'!$C$4</f>
        <v>7</v>
      </c>
      <c r="C35" s="106" t="s">
        <v>95</v>
      </c>
      <c r="D35" s="106"/>
      <c r="E35" s="107"/>
      <c r="F35" s="108"/>
      <c r="G35" s="109"/>
      <c r="H35" s="110">
        <f t="shared" si="5"/>
        <v>0</v>
      </c>
      <c r="I35" s="177"/>
      <c r="J35" s="118" t="str">
        <f>IF(OR(D35="",F35=""),"",(((HLOOKUP(D35,'Carrières et points'!$A$20:$AD$60,F35+2,FALSE)*'Carrières et points'!$C$7*'Carrières et points'!$C$9)+(HLOOKUP(D35,'Carrières et points'!$A$20:$AD$60,F35+2,FALSE)*'Carrières et points'!$C$13*'Carrières et points'!$C$15))*(1+'F0 - Données générales'!$I$4)+((HLOOKUP(D35,'Carrières et points'!$A$20:$AD$60,F35+2,FALSE)*'Carrières et points'!$C$7*'Carrières et points'!$C$9)+(HLOOKUP(D35,'Carrières et points'!$A$20:$AD$60,F35+2,FALSE)*'Carrières et points'!$C$13*'Carrières et points'!$C$15))/12*(1+'F0 - Données générales'!$L$13))*E35)</f>
        <v/>
      </c>
      <c r="K35" s="118" t="str">
        <f t="shared" si="6"/>
        <v/>
      </c>
      <c r="L35" s="109"/>
      <c r="M35" s="177"/>
      <c r="N35" s="118" t="str">
        <f t="shared" si="0"/>
        <v/>
      </c>
      <c r="O35" s="177"/>
      <c r="P35" s="177"/>
      <c r="Q35" s="177"/>
      <c r="R35" s="255" t="str">
        <f t="shared" si="7"/>
        <v/>
      </c>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69"/>
      <c r="BC35" s="169"/>
      <c r="BD35" s="169"/>
      <c r="BE35" s="169"/>
      <c r="BF35" s="169"/>
      <c r="BG35" s="179"/>
      <c r="BH35" s="170"/>
      <c r="BI35" s="170"/>
      <c r="BJ35" s="170"/>
      <c r="BK35" s="170"/>
      <c r="BL35" s="170"/>
      <c r="BM35" s="170"/>
      <c r="BN35" s="172"/>
      <c r="BO35" s="172"/>
      <c r="BP35" s="180"/>
      <c r="BR35" s="40"/>
      <c r="BS35" s="790"/>
      <c r="BT35" s="791"/>
      <c r="BU35" s="37" t="s">
        <v>232</v>
      </c>
      <c r="BV35" s="59" t="e">
        <f ca="1">IF('F0 - Données générales'!$H$5="","",IF('F0 - Données générales'!$H$5="horaire",BV33/'F2 - Données facturation'!$AA$20,IF('F0 - Données générales'!$H$5="journalier",BV33/'F2 - Données facturation'!$Y$30)))</f>
        <v>#DIV/0!</v>
      </c>
      <c r="BW35" s="59" t="e">
        <f ca="1">IF('F0 - Données générales'!$H$5="","",IF('F0 - Données générales'!$H$5="horaire",BW33/'F2 - Données facturation'!$AA$20,IF('F0 - Données générales'!$H$5="journalier",BW33/'F2 - Données facturation'!$Y$30)))</f>
        <v>#DIV/0!</v>
      </c>
      <c r="BX35" s="59" t="e">
        <f ca="1">IF('F0 - Données générales'!$H$5="","",IF('F0 - Données générales'!$H$5="horaire",BX33/'F2 - Données facturation'!$AA$20,IF('F0 - Données générales'!$H$5="journalier",BX33/'F2 - Données facturation'!$Y$30)))</f>
        <v>#DIV/0!</v>
      </c>
      <c r="BY35" s="59" t="e">
        <f ca="1">IF('F0 - Données générales'!$H$5="","",IF('F0 - Données générales'!$H$5="horaire",BY33/'F2 - Données facturation'!$AA$20,IF('F0 - Données générales'!$H$5="journalier",BY33/'F2 - Données facturation'!$Y$30)))</f>
        <v>#DIV/0!</v>
      </c>
      <c r="BZ35" s="60" t="e">
        <f ca="1">IF('F0 - Données générales'!$H$5="","",IF('F0 - Données générales'!$H$5="horaire",BZ33/'F2 - Données facturation'!$AA$20,IF('F0 - Données générales'!$H$5="journalier",BZ33/'F2 - Données facturation'!$Y$30)))</f>
        <v>#DIV/0!</v>
      </c>
    </row>
    <row r="36" spans="1:80" x14ac:dyDescent="0.3">
      <c r="A36" s="106">
        <v>33</v>
      </c>
      <c r="B36" s="324">
        <f>'F0 - Données générales'!$C$4</f>
        <v>7</v>
      </c>
      <c r="C36" s="106" t="s">
        <v>95</v>
      </c>
      <c r="D36" s="106"/>
      <c r="E36" s="107"/>
      <c r="F36" s="108"/>
      <c r="G36" s="109"/>
      <c r="H36" s="110">
        <f t="shared" si="5"/>
        <v>0</v>
      </c>
      <c r="I36" s="177"/>
      <c r="J36" s="118" t="str">
        <f>IF(OR(D36="",F36=""),"",(((HLOOKUP(D36,'Carrières et points'!$A$20:$AD$60,F36+2,FALSE)*'Carrières et points'!$C$7*'Carrières et points'!$C$9)+(HLOOKUP(D36,'Carrières et points'!$A$20:$AD$60,F36+2,FALSE)*'Carrières et points'!$C$13*'Carrières et points'!$C$15))*(1+'F0 - Données générales'!$I$4)+((HLOOKUP(D36,'Carrières et points'!$A$20:$AD$60,F36+2,FALSE)*'Carrières et points'!$C$7*'Carrières et points'!$C$9)+(HLOOKUP(D36,'Carrières et points'!$A$20:$AD$60,F36+2,FALSE)*'Carrières et points'!$C$13*'Carrières et points'!$C$15))/12*(1+'F0 - Données générales'!$L$13))*E36)</f>
        <v/>
      </c>
      <c r="K36" s="118" t="str">
        <f t="shared" si="6"/>
        <v/>
      </c>
      <c r="L36" s="109"/>
      <c r="M36" s="177"/>
      <c r="N36" s="118" t="str">
        <f t="shared" si="0"/>
        <v/>
      </c>
      <c r="O36" s="177"/>
      <c r="P36" s="177"/>
      <c r="Q36" s="177"/>
      <c r="R36" s="255" t="str">
        <f t="shared" si="7"/>
        <v/>
      </c>
      <c r="S36" s="120"/>
      <c r="T36" s="1" t="s">
        <v>422</v>
      </c>
      <c r="U36" s="1"/>
      <c r="V36" s="1"/>
      <c r="W36"/>
      <c r="X36"/>
      <c r="Y36"/>
      <c r="Z36"/>
      <c r="AA36"/>
      <c r="AB36"/>
      <c r="AC36"/>
      <c r="AD36"/>
      <c r="AE36"/>
      <c r="AF36"/>
      <c r="AG36"/>
      <c r="AH36"/>
      <c r="AI36"/>
      <c r="AJ36" s="120"/>
      <c r="AK36" s="1" t="s">
        <v>428</v>
      </c>
      <c r="AL36" s="1"/>
      <c r="AM36" s="1"/>
      <c r="AN36"/>
      <c r="AO36"/>
      <c r="AP36"/>
      <c r="AQ36"/>
      <c r="AR36"/>
      <c r="AS36"/>
      <c r="AT36"/>
      <c r="AU36"/>
      <c r="AV36"/>
      <c r="AW36"/>
      <c r="AX36"/>
      <c r="AY36"/>
      <c r="AZ36"/>
      <c r="BA36" s="120"/>
      <c r="BB36" s="1" t="s">
        <v>330</v>
      </c>
      <c r="BC36" s="169"/>
      <c r="BD36" s="169"/>
      <c r="BE36" s="169"/>
      <c r="BF36" s="169"/>
      <c r="BG36" s="179"/>
      <c r="BH36" s="170"/>
      <c r="BI36" s="170"/>
      <c r="BJ36" s="170"/>
      <c r="BK36" s="170"/>
      <c r="BL36" s="170"/>
      <c r="BM36" s="170"/>
      <c r="BN36" s="172"/>
      <c r="BO36" s="172"/>
      <c r="BP36" s="180"/>
      <c r="BR36" s="40"/>
    </row>
    <row r="37" spans="1:80" ht="15" customHeight="1" x14ac:dyDescent="0.3">
      <c r="A37" s="106">
        <v>34</v>
      </c>
      <c r="B37" s="324">
        <f>'F0 - Données générales'!$C$4</f>
        <v>7</v>
      </c>
      <c r="C37" s="106" t="s">
        <v>95</v>
      </c>
      <c r="D37" s="106"/>
      <c r="E37" s="107"/>
      <c r="F37" s="108"/>
      <c r="G37" s="109"/>
      <c r="H37" s="110">
        <f t="shared" si="5"/>
        <v>0</v>
      </c>
      <c r="I37" s="177"/>
      <c r="J37" s="118" t="str">
        <f>IF(OR(D37="",F37=""),"",(((HLOOKUP(D37,'Carrières et points'!$A$20:$AD$60,F37+2,FALSE)*'Carrières et points'!$C$7*'Carrières et points'!$C$9)+(HLOOKUP(D37,'Carrières et points'!$A$20:$AD$60,F37+2,FALSE)*'Carrières et points'!$C$13*'Carrières et points'!$C$15))*(1+'F0 - Données générales'!$I$4)+((HLOOKUP(D37,'Carrières et points'!$A$20:$AD$60,F37+2,FALSE)*'Carrières et points'!$C$7*'Carrières et points'!$C$9)+(HLOOKUP(D37,'Carrières et points'!$A$20:$AD$60,F37+2,FALSE)*'Carrières et points'!$C$13*'Carrières et points'!$C$15))/12*(1+'F0 - Données générales'!$L$13))*E37)</f>
        <v/>
      </c>
      <c r="K37" s="118" t="str">
        <f t="shared" si="6"/>
        <v/>
      </c>
      <c r="L37" s="109"/>
      <c r="M37" s="177"/>
      <c r="N37" s="118" t="str">
        <f t="shared" si="0"/>
        <v/>
      </c>
      <c r="O37" s="177"/>
      <c r="P37" s="177"/>
      <c r="Q37" s="177"/>
      <c r="R37" s="255" t="str">
        <f t="shared" si="7"/>
        <v/>
      </c>
      <c r="S37" s="120"/>
      <c r="T37" s="747" t="s">
        <v>58</v>
      </c>
      <c r="U37" s="747"/>
      <c r="V37" s="747" t="s">
        <v>55</v>
      </c>
      <c r="W37" s="747"/>
      <c r="X37" s="747"/>
      <c r="Y37" s="298" t="s">
        <v>403</v>
      </c>
      <c r="Z37" s="298" t="s">
        <v>404</v>
      </c>
      <c r="AA37" s="298" t="s">
        <v>299</v>
      </c>
      <c r="AB37" s="298" t="s">
        <v>304</v>
      </c>
      <c r="AC37" s="298" t="s">
        <v>733</v>
      </c>
      <c r="AD37" s="298" t="s">
        <v>284</v>
      </c>
      <c r="AE37" s="298" t="s">
        <v>323</v>
      </c>
      <c r="AF37" s="298" t="s">
        <v>60</v>
      </c>
      <c r="AG37" s="298" t="s">
        <v>734</v>
      </c>
      <c r="AH37" s="298" t="s">
        <v>735</v>
      </c>
      <c r="AI37" s="298" t="s">
        <v>313</v>
      </c>
      <c r="AJ37" s="120"/>
      <c r="AK37" s="747" t="s">
        <v>58</v>
      </c>
      <c r="AL37" s="747"/>
      <c r="AM37" s="747" t="s">
        <v>55</v>
      </c>
      <c r="AN37" s="747"/>
      <c r="AO37" s="747"/>
      <c r="AP37" s="298" t="s">
        <v>403</v>
      </c>
      <c r="AQ37" s="298" t="s">
        <v>404</v>
      </c>
      <c r="AR37" s="298" t="s">
        <v>299</v>
      </c>
      <c r="AS37" s="298" t="s">
        <v>304</v>
      </c>
      <c r="AT37" s="298" t="s">
        <v>733</v>
      </c>
      <c r="AU37" s="298" t="s">
        <v>284</v>
      </c>
      <c r="AV37" s="298" t="s">
        <v>323</v>
      </c>
      <c r="AW37" s="298" t="s">
        <v>60</v>
      </c>
      <c r="AX37" s="298" t="s">
        <v>734</v>
      </c>
      <c r="AY37" s="298" t="s">
        <v>735</v>
      </c>
      <c r="AZ37" s="298" t="s">
        <v>313</v>
      </c>
      <c r="BA37" s="120"/>
      <c r="BB37" s="768" t="s">
        <v>58</v>
      </c>
      <c r="BC37" s="769"/>
      <c r="BD37" s="768" t="s">
        <v>55</v>
      </c>
      <c r="BE37" s="780"/>
      <c r="BF37" s="769"/>
      <c r="BG37" s="812" t="s">
        <v>405</v>
      </c>
      <c r="BH37" s="812" t="s">
        <v>299</v>
      </c>
      <c r="BI37" s="812" t="s">
        <v>304</v>
      </c>
      <c r="BJ37" s="812" t="s">
        <v>733</v>
      </c>
      <c r="BK37" s="812" t="s">
        <v>284</v>
      </c>
      <c r="BL37" s="812" t="s">
        <v>323</v>
      </c>
      <c r="BM37" s="812" t="s">
        <v>60</v>
      </c>
      <c r="BN37" s="812" t="s">
        <v>734</v>
      </c>
      <c r="BO37" s="812" t="s">
        <v>735</v>
      </c>
      <c r="BP37" s="812" t="s">
        <v>313</v>
      </c>
      <c r="BR37" s="40"/>
    </row>
    <row r="38" spans="1:80" ht="15" customHeight="1" x14ac:dyDescent="0.3">
      <c r="A38" s="106">
        <v>35</v>
      </c>
      <c r="B38" s="324">
        <f>'F0 - Données générales'!$C$4</f>
        <v>7</v>
      </c>
      <c r="C38" s="106" t="s">
        <v>95</v>
      </c>
      <c r="D38" s="106"/>
      <c r="E38" s="107"/>
      <c r="F38" s="108"/>
      <c r="G38" s="109"/>
      <c r="H38" s="110">
        <f t="shared" si="5"/>
        <v>0</v>
      </c>
      <c r="I38" s="177"/>
      <c r="J38" s="118" t="str">
        <f>IF(OR(D38="",F38=""),"",(((HLOOKUP(D38,'Carrières et points'!$A$20:$AD$60,F38+2,FALSE)*'Carrières et points'!$C$7*'Carrières et points'!$C$9)+(HLOOKUP(D38,'Carrières et points'!$A$20:$AD$60,F38+2,FALSE)*'Carrières et points'!$C$13*'Carrières et points'!$C$15))*(1+'F0 - Données générales'!$I$4)+((HLOOKUP(D38,'Carrières et points'!$A$20:$AD$60,F38+2,FALSE)*'Carrières et points'!$C$7*'Carrières et points'!$C$9)+(HLOOKUP(D38,'Carrières et points'!$A$20:$AD$60,F38+2,FALSE)*'Carrières et points'!$C$13*'Carrières et points'!$C$15))/12*(1+'F0 - Données générales'!$L$13))*E38)</f>
        <v/>
      </c>
      <c r="K38" s="118" t="str">
        <f t="shared" si="6"/>
        <v/>
      </c>
      <c r="L38" s="109"/>
      <c r="M38" s="177"/>
      <c r="N38" s="118" t="str">
        <f t="shared" si="0"/>
        <v/>
      </c>
      <c r="O38" s="177"/>
      <c r="P38" s="177"/>
      <c r="Q38" s="177"/>
      <c r="R38" s="255" t="str">
        <f t="shared" si="7"/>
        <v/>
      </c>
      <c r="S38" s="120"/>
      <c r="T38" s="742" t="s">
        <v>61</v>
      </c>
      <c r="U38" s="742"/>
      <c r="V38" s="26" t="s">
        <v>62</v>
      </c>
      <c r="W38" s="748" t="s">
        <v>63</v>
      </c>
      <c r="X38" s="748"/>
      <c r="Y38" s="181">
        <f>SUMIFS('F3 - Relevé du personnel'!$E$4:$E$281,'F3 - Relevé du personnel'!$D$4:$D$281,$V38,'F3 - Relevé du personnel'!$C$4:$C$281,'F0 - Données générales'!$K$31,'F3 - Relevé du personnel'!$B$4:$B$281,"8.1")</f>
        <v>0</v>
      </c>
      <c r="Z38" s="181">
        <f>SUMIFS('F3 - Relevé du personnel'!$H$4:$H$281,'F3 - Relevé du personnel'!$D$4:$D$281,$V38,'F3 - Relevé du personnel'!$C$4:$C$281,'F0 - Données générales'!$K$31,'F3 - Relevé du personnel'!$B$4:$B$281,"8.1")</f>
        <v>0</v>
      </c>
      <c r="AA38" s="256">
        <f>SUMIFS('F3 - Relevé du personnel'!$I$4:$I$281,'F3 - Relevé du personnel'!$D$4:$D$281,$V38,'F3 - Relevé du personnel'!$C$4:$C$281,'F0 - Données générales'!$K$31,'F3 - Relevé du personnel'!$B$4:$B$281,"8.1")</f>
        <v>0</v>
      </c>
      <c r="AB38" s="256">
        <f>SUMIFS('F3 - Relevé du personnel'!$M$4:$M$281,'F3 - Relevé du personnel'!$D$4:$D$281,$V38,'F3 - Relevé du personnel'!$C$4:$C$281,'F0 - Données générales'!$K$31,'F3 - Relevé du personnel'!$B$4:$B$281,"8.1")</f>
        <v>0</v>
      </c>
      <c r="AC38" s="196">
        <f t="shared" ref="AC38:AC67" si="26">(AA38+AB38)</f>
        <v>0</v>
      </c>
      <c r="AD38" s="256">
        <f>SUMIFS('F3 - Relevé du personnel'!$O$4:$O$281,'F3 - Relevé du personnel'!$D$4:$D$281,$V38,'F3 - Relevé du personnel'!$C$4:$C$281,'F0 - Données générales'!$K$31,'F3 - Relevé du personnel'!$B$4:$B$281,"8.1")</f>
        <v>0</v>
      </c>
      <c r="AE38" s="256">
        <f>SUMIFS('F3 - Relevé du personnel'!$P$4:$P$281,'F3 - Relevé du personnel'!$D$4:$D$281,$V38,'F3 - Relevé du personnel'!$C$4:$C$281,'F0 - Données générales'!$K$31,'F3 - Relevé du personnel'!$B$4:$B$281,"8.1")</f>
        <v>0</v>
      </c>
      <c r="AF38" s="256">
        <f>SUMIFS('F3 - Relevé du personnel'!$Q$4:$Q$281,'F3 - Relevé du personnel'!$D$4:$D$281,$V38,'F3 - Relevé du personnel'!$C$4:$C$281,'F0 - Données générales'!$K$31,'F3 - Relevé du personnel'!$B$4:$B$281,"8.1")</f>
        <v>0</v>
      </c>
      <c r="AG38" s="182">
        <f t="shared" ref="AG38:AG67" si="27">AA38+AB38-SUM(AD38:AF38)</f>
        <v>0</v>
      </c>
      <c r="AH38" s="197" t="str">
        <f>IF(Y38=0,"",(AG38)/Y38)</f>
        <v/>
      </c>
      <c r="AI38" s="198" t="str">
        <f>IF(Y38=0,"",(SUMPRODUCT(($D$4:$D$253=V38)*($C$4:$C$253='F0 - Données générales'!$K$31)*($E$4:$E$253)*($F$4:$F$253)*($B$4:$B$253="8.1"))+SUMPRODUCT(($D$257:$D$281=V38)*($C$257:$C$281='F0 - Données générales'!$K$31)*($B$257:$B$281="8.1")*($E$257:$E$281)*($F$257:$F$281)))/(SUMIFS('F3 - Relevé du personnel'!$E$4:$E$281,'F3 - Relevé du personnel'!$D$4:$D$281,$V38,'F3 - Relevé du personnel'!$C$4:$C$281,'F0 - Données générales'!$K$31,'F3 - Relevé du personnel'!$B$4:$B$281,"8.1")))</f>
        <v/>
      </c>
      <c r="AJ38" s="120"/>
      <c r="AK38" s="742" t="s">
        <v>61</v>
      </c>
      <c r="AL38" s="742"/>
      <c r="AM38" s="26" t="s">
        <v>62</v>
      </c>
      <c r="AN38" s="748" t="s">
        <v>63</v>
      </c>
      <c r="AO38" s="748"/>
      <c r="AP38" s="181">
        <f>SUMIFS('F3 - Relevé du personnel'!$E$4:$E$281,'F3 - Relevé du personnel'!$D$4:$D$281,$AM38,'F3 - Relevé du personnel'!$C$4:$C$281,'F0 - Données générales'!$K$31,'F3 - Relevé du personnel'!$B$4:$B$281,"psycho")</f>
        <v>0</v>
      </c>
      <c r="AQ38" s="181">
        <f>SUMIFS('F3 - Relevé du personnel'!$H$4:$H$281,'F3 - Relevé du personnel'!$D$4:$D$281,$AM38,'F3 - Relevé du personnel'!$C$4:$C$281,'F0 - Données générales'!$K$31,'F3 - Relevé du personnel'!$B$4:$B$281,"psycho")</f>
        <v>0</v>
      </c>
      <c r="AR38" s="256">
        <f>SUMIFS('F3 - Relevé du personnel'!$I$4:$I$281,'F3 - Relevé du personnel'!$D$4:$D$281,$AM38,'F3 - Relevé du personnel'!$C$4:$C$281,'F0 - Données générales'!$K$31,'F3 - Relevé du personnel'!$B$4:$B$281,"psycho")</f>
        <v>0</v>
      </c>
      <c r="AS38" s="256">
        <f>SUMIFS('F3 - Relevé du personnel'!$M$4:$M$281,'F3 - Relevé du personnel'!$D$4:$D$281,$AM38,'F3 - Relevé du personnel'!$C$4:$C$281,'F0 - Données générales'!$K$31,'F3 - Relevé du personnel'!$B$4:$B$281,"psycho")</f>
        <v>0</v>
      </c>
      <c r="AT38" s="196">
        <f>(AR38+AS38)</f>
        <v>0</v>
      </c>
      <c r="AU38" s="256">
        <f>SUMIFS('F3 - Relevé du personnel'!$O$4:$O$281,'F3 - Relevé du personnel'!$D$4:$D$281,$AM38,'F3 - Relevé du personnel'!$C$4:$C$281,'F0 - Données générales'!$K$31,'F3 - Relevé du personnel'!$B$4:$B$281,"psycho")</f>
        <v>0</v>
      </c>
      <c r="AV38" s="256">
        <f>SUMIFS('F3 - Relevé du personnel'!$P$4:$P$281,'F3 - Relevé du personnel'!$D$4:$D$281,$AM38,'F3 - Relevé du personnel'!$C$4:$C$281,'F0 - Données générales'!$K$31,'F3 - Relevé du personnel'!$B$4:$B$281,"psycho")</f>
        <v>0</v>
      </c>
      <c r="AW38" s="256">
        <f>SUMIFS('F3 - Relevé du personnel'!$Q$4:$Q$281,'F3 - Relevé du personnel'!$D$4:$D$281,$AM38,'F3 - Relevé du personnel'!$C$4:$C$281,'F0 - Données générales'!$K$31,'F3 - Relevé du personnel'!$B$4:$B$281,"psycho")</f>
        <v>0</v>
      </c>
      <c r="AX38" s="182">
        <f>AR38+AS38-SUM(AU38:AW38)</f>
        <v>0</v>
      </c>
      <c r="AY38" s="197" t="str">
        <f>IF(AP38=0,"",(AX38)/AP38)</f>
        <v/>
      </c>
      <c r="AZ38" s="198" t="str">
        <f>IF(AP38=0,"",(SUMPRODUCT(($D$4:$D$253=AM38)*($C$4:$C$253='F0 - Données générales'!$K$31)*($E$4:$E$253)*($F$4:$F$253)*($B$4:$B$253="psycho"))+SUMPRODUCT(($D$257:$D$281=AM38)*($C$257:$C$281='F0 - Données générales'!$K$31)*($B$257:$B$281="psycho")*($E$257:$E$281)*($F$257:$F$281)))/(SUMIFS('F3 - Relevé du personnel'!$E$4:$E$281,'F3 - Relevé du personnel'!$D$4:$D$281,$AM38,'F3 - Relevé du personnel'!$C$4:$C$281,'F0 - Données générales'!$K$31,'F3 - Relevé du personnel'!$B$4:$B$281,"psycho")))</f>
        <v/>
      </c>
      <c r="BA38" s="120"/>
      <c r="BB38" s="770"/>
      <c r="BC38" s="771"/>
      <c r="BD38" s="770"/>
      <c r="BE38" s="781"/>
      <c r="BF38" s="771"/>
      <c r="BG38" s="813"/>
      <c r="BH38" s="813"/>
      <c r="BI38" s="813"/>
      <c r="BJ38" s="813"/>
      <c r="BK38" s="813"/>
      <c r="BL38" s="813"/>
      <c r="BM38" s="813"/>
      <c r="BN38" s="813"/>
      <c r="BO38" s="813"/>
      <c r="BP38" s="813"/>
      <c r="BR38" s="40"/>
      <c r="BS38" s="1" t="s">
        <v>333</v>
      </c>
    </row>
    <row r="39" spans="1:80" x14ac:dyDescent="0.3">
      <c r="A39" s="106">
        <v>36</v>
      </c>
      <c r="B39" s="324">
        <f>'F0 - Données générales'!$C$4</f>
        <v>7</v>
      </c>
      <c r="C39" s="106" t="s">
        <v>95</v>
      </c>
      <c r="D39" s="106"/>
      <c r="E39" s="107"/>
      <c r="F39" s="108"/>
      <c r="G39" s="109"/>
      <c r="H39" s="110">
        <f t="shared" si="5"/>
        <v>0</v>
      </c>
      <c r="I39" s="177"/>
      <c r="J39" s="118" t="str">
        <f>IF(OR(D39="",F39=""),"",(((HLOOKUP(D39,'Carrières et points'!$A$20:$AD$60,F39+2,FALSE)*'Carrières et points'!$C$7*'Carrières et points'!$C$9)+(HLOOKUP(D39,'Carrières et points'!$A$20:$AD$60,F39+2,FALSE)*'Carrières et points'!$C$13*'Carrières et points'!$C$15))*(1+'F0 - Données générales'!$I$4)+((HLOOKUP(D39,'Carrières et points'!$A$20:$AD$60,F39+2,FALSE)*'Carrières et points'!$C$7*'Carrières et points'!$C$9)+(HLOOKUP(D39,'Carrières et points'!$A$20:$AD$60,F39+2,FALSE)*'Carrières et points'!$C$13*'Carrières et points'!$C$15))/12*(1+'F0 - Données générales'!$L$13))*E39)</f>
        <v/>
      </c>
      <c r="K39" s="118" t="str">
        <f t="shared" si="6"/>
        <v/>
      </c>
      <c r="L39" s="109"/>
      <c r="M39" s="177"/>
      <c r="N39" s="118" t="str">
        <f t="shared" si="0"/>
        <v/>
      </c>
      <c r="O39" s="177"/>
      <c r="P39" s="177"/>
      <c r="Q39" s="177"/>
      <c r="R39" s="255" t="str">
        <f t="shared" si="7"/>
        <v/>
      </c>
      <c r="S39" s="120"/>
      <c r="T39" s="742" t="s">
        <v>65</v>
      </c>
      <c r="U39" s="742"/>
      <c r="V39" s="26" t="s">
        <v>66</v>
      </c>
      <c r="W39" s="741" t="s">
        <v>67</v>
      </c>
      <c r="X39" s="741"/>
      <c r="Y39" s="181">
        <f>SUMIFS('F3 - Relevé du personnel'!$E$4:$E$281,'F3 - Relevé du personnel'!$D$4:$D$281,$V39,'F3 - Relevé du personnel'!$C$4:$C$281,'F0 - Données générales'!$K$31,'F3 - Relevé du personnel'!$B$4:$B$281,"8.1")</f>
        <v>0</v>
      </c>
      <c r="Z39" s="181">
        <f>SUMIFS('F3 - Relevé du personnel'!$H$4:$H$281,'F3 - Relevé du personnel'!$D$4:$D$281,$V39,'F3 - Relevé du personnel'!$C$4:$C$281,'F0 - Données générales'!$K$31,'F3 - Relevé du personnel'!$B$4:$B$281,"8.1")</f>
        <v>0</v>
      </c>
      <c r="AA39" s="256">
        <f>SUMIFS('F3 - Relevé du personnel'!$I$4:$I$281,'F3 - Relevé du personnel'!$D$4:$D$281,$V39,'F3 - Relevé du personnel'!$C$4:$C$281,'F0 - Données générales'!$K$31,'F3 - Relevé du personnel'!$B$4:$B$281,"8.1")</f>
        <v>0</v>
      </c>
      <c r="AB39" s="256">
        <f>SUMIFS('F3 - Relevé du personnel'!$M$4:$M$281,'F3 - Relevé du personnel'!$D$4:$D$281,$V39,'F3 - Relevé du personnel'!$C$4:$C$281,'F0 - Données générales'!$K$31,'F3 - Relevé du personnel'!$B$4:$B$281,"8.1")</f>
        <v>0</v>
      </c>
      <c r="AC39" s="196">
        <f t="shared" si="26"/>
        <v>0</v>
      </c>
      <c r="AD39" s="256">
        <f>SUMIFS('F3 - Relevé du personnel'!$O$4:$O$281,'F3 - Relevé du personnel'!$D$4:$D$281,$V39,'F3 - Relevé du personnel'!$C$4:$C$281,'F0 - Données générales'!$K$31,'F3 - Relevé du personnel'!$B$4:$B$281,"8.1")</f>
        <v>0</v>
      </c>
      <c r="AE39" s="256">
        <f>SUMIFS('F3 - Relevé du personnel'!$P$4:$P$281,'F3 - Relevé du personnel'!$D$4:$D$281,$V39,'F3 - Relevé du personnel'!$C$4:$C$281,'F0 - Données générales'!$K$31,'F3 - Relevé du personnel'!$B$4:$B$281,"8.1")</f>
        <v>0</v>
      </c>
      <c r="AF39" s="256">
        <f>SUMIFS('F3 - Relevé du personnel'!$Q$4:$Q$281,'F3 - Relevé du personnel'!$D$4:$D$281,$V39,'F3 - Relevé du personnel'!$C$4:$C$281,'F0 - Données générales'!$K$31,'F3 - Relevé du personnel'!$B$4:$B$281,"8.1")</f>
        <v>0</v>
      </c>
      <c r="AG39" s="182">
        <f t="shared" si="27"/>
        <v>0</v>
      </c>
      <c r="AH39" s="197" t="str">
        <f t="shared" ref="AH39:AH68" si="28">IF(Y39=0,"",(AG39)/Y39)</f>
        <v/>
      </c>
      <c r="AI39" s="198" t="str">
        <f>IF(Y39=0,"",(SUMPRODUCT(($D$4:$D$253=V39)*($C$4:$C$253='F0 - Données générales'!$K$31)*($E$4:$E$253)*($F$4:$F$253)*($B$4:$B$253="8.1"))+SUMPRODUCT(($D$257:$D$281=V39)*($C$257:$C$281='F0 - Données générales'!$K$31)*($B$257:$B$281="8.1")*($E$257:$E$281)*($F$257:$F$281)))/(SUMIFS('F3 - Relevé du personnel'!$E$4:$E$281,'F3 - Relevé du personnel'!$D$4:$D$281,$V39,'F3 - Relevé du personnel'!$C$4:$C$281,'F0 - Données générales'!$K$31,'F3 - Relevé du personnel'!$B$4:$B$281,"8.1")))</f>
        <v/>
      </c>
      <c r="AJ39" s="120"/>
      <c r="AK39" s="742" t="s">
        <v>65</v>
      </c>
      <c r="AL39" s="742"/>
      <c r="AM39" s="26" t="s">
        <v>66</v>
      </c>
      <c r="AN39" s="741" t="s">
        <v>67</v>
      </c>
      <c r="AO39" s="741"/>
      <c r="AP39" s="181">
        <f>SUMIFS('F3 - Relevé du personnel'!$E$4:$E$281,'F3 - Relevé du personnel'!$D$4:$D$281,$AM39,'F3 - Relevé du personnel'!$C$4:$C$281,'F0 - Données générales'!$K$31,'F3 - Relevé du personnel'!$B$4:$B$281,"psycho")</f>
        <v>0</v>
      </c>
      <c r="AQ39" s="181">
        <f>SUMIFS('F3 - Relevé du personnel'!$H$4:$H$281,'F3 - Relevé du personnel'!$D$4:$D$281,$AM39,'F3 - Relevé du personnel'!$C$4:$C$281,'F0 - Données générales'!$K$31,'F3 - Relevé du personnel'!$B$4:$B$281,"psycho")</f>
        <v>0</v>
      </c>
      <c r="AR39" s="256">
        <f>SUMIFS('F3 - Relevé du personnel'!$I$4:$I$281,'F3 - Relevé du personnel'!$D$4:$D$281,$AM39,'F3 - Relevé du personnel'!$C$4:$C$281,'F0 - Données générales'!$K$31,'F3 - Relevé du personnel'!$B$4:$B$281,"psycho")</f>
        <v>0</v>
      </c>
      <c r="AS39" s="256">
        <f>SUMIFS('F3 - Relevé du personnel'!$M$4:$M$281,'F3 - Relevé du personnel'!$D$4:$D$281,$AM39,'F3 - Relevé du personnel'!$C$4:$C$281,'F0 - Données générales'!$K$31,'F3 - Relevé du personnel'!$B$4:$B$281,"psycho")</f>
        <v>0</v>
      </c>
      <c r="AT39" s="196">
        <f t="shared" ref="AT39:AT46" si="29">(AR39+AS39)</f>
        <v>0</v>
      </c>
      <c r="AU39" s="256">
        <f>SUMIFS('F3 - Relevé du personnel'!$O$4:$O$281,'F3 - Relevé du personnel'!$D$4:$D$281,$AM39,'F3 - Relevé du personnel'!$C$4:$C$281,'F0 - Données générales'!$K$31,'F3 - Relevé du personnel'!$B$4:$B$281,"psycho")</f>
        <v>0</v>
      </c>
      <c r="AV39" s="256">
        <f>SUMIFS('F3 - Relevé du personnel'!$P$4:$P$281,'F3 - Relevé du personnel'!$D$4:$D$281,$AM39,'F3 - Relevé du personnel'!$C$4:$C$281,'F0 - Données générales'!$K$31,'F3 - Relevé du personnel'!$B$4:$B$281,"psycho")</f>
        <v>0</v>
      </c>
      <c r="AW39" s="256">
        <f>SUMIFS('F3 - Relevé du personnel'!$Q$4:$Q$281,'F3 - Relevé du personnel'!$D$4:$D$281,$AM39,'F3 - Relevé du personnel'!$C$4:$C$281,'F0 - Données générales'!$K$31,'F3 - Relevé du personnel'!$B$4:$B$281,"psycho")</f>
        <v>0</v>
      </c>
      <c r="AX39" s="182">
        <f t="shared" ref="AX39:AX46" si="30">AR39+AS39-SUM(AU39:AW39)</f>
        <v>0</v>
      </c>
      <c r="AY39" s="197" t="str">
        <f t="shared" ref="AY39:AY46" si="31">IF(AP39=0,"",(AX39)/AP39)</f>
        <v/>
      </c>
      <c r="AZ39" s="198" t="str">
        <f>IF(AP39=0,"",(SUMPRODUCT(($D$4:$D$253=AM39)*($C$4:$C$253='F0 - Données générales'!$K$31)*($E$4:$E$253)*($F$4:$F$253)*($B$4:$B$253="psycho"))+SUMPRODUCT(($D$257:$D$281=AM39)*($C$257:$C$281='F0 - Données générales'!$K$31)*($B$257:$B$281="psycho")*($E$257:$E$281)*($F$257:$F$281)))/(SUMIFS('F3 - Relevé du personnel'!$E$4:$E$281,'F3 - Relevé du personnel'!$D$4:$D$281,$AM39,'F3 - Relevé du personnel'!$C$4:$C$281,'F0 - Données générales'!$K$31,'F3 - Relevé du personnel'!$B$4:$B$281,"psycho")))</f>
        <v/>
      </c>
      <c r="BA39" s="120"/>
      <c r="BB39" s="770"/>
      <c r="BC39" s="771"/>
      <c r="BD39" s="770"/>
      <c r="BE39" s="781"/>
      <c r="BF39" s="771"/>
      <c r="BG39" s="813"/>
      <c r="BH39" s="813"/>
      <c r="BI39" s="813"/>
      <c r="BJ39" s="813"/>
      <c r="BK39" s="813"/>
      <c r="BL39" s="813"/>
      <c r="BM39" s="813"/>
      <c r="BN39" s="813"/>
      <c r="BO39" s="813"/>
      <c r="BP39" s="813"/>
      <c r="BR39" s="40"/>
      <c r="BS39" s="783" t="s">
        <v>325</v>
      </c>
      <c r="BT39" s="783" t="s">
        <v>318</v>
      </c>
      <c r="BU39" s="783" t="s">
        <v>304</v>
      </c>
      <c r="BV39" s="783" t="s">
        <v>326</v>
      </c>
      <c r="BW39" s="783" t="s">
        <v>284</v>
      </c>
      <c r="BX39" s="783" t="s">
        <v>59</v>
      </c>
      <c r="BY39" s="783" t="s">
        <v>60</v>
      </c>
      <c r="BZ39" s="783" t="s">
        <v>327</v>
      </c>
      <c r="CA39" s="783" t="s">
        <v>735</v>
      </c>
      <c r="CB39" s="783" t="s">
        <v>334</v>
      </c>
    </row>
    <row r="40" spans="1:80" x14ac:dyDescent="0.3">
      <c r="A40" s="106">
        <v>37</v>
      </c>
      <c r="B40" s="324">
        <f>'F0 - Données générales'!$C$4</f>
        <v>7</v>
      </c>
      <c r="C40" s="106" t="s">
        <v>95</v>
      </c>
      <c r="D40" s="106"/>
      <c r="E40" s="107"/>
      <c r="F40" s="108"/>
      <c r="G40" s="109"/>
      <c r="H40" s="110">
        <f t="shared" si="5"/>
        <v>0</v>
      </c>
      <c r="I40" s="177"/>
      <c r="J40" s="118" t="str">
        <f>IF(OR(D40="",F40=""),"",(((HLOOKUP(D40,'Carrières et points'!$A$20:$AD$60,F40+2,FALSE)*'Carrières et points'!$C$7*'Carrières et points'!$C$9)+(HLOOKUP(D40,'Carrières et points'!$A$20:$AD$60,F40+2,FALSE)*'Carrières et points'!$C$13*'Carrières et points'!$C$15))*(1+'F0 - Données générales'!$I$4)+((HLOOKUP(D40,'Carrières et points'!$A$20:$AD$60,F40+2,FALSE)*'Carrières et points'!$C$7*'Carrières et points'!$C$9)+(HLOOKUP(D40,'Carrières et points'!$A$20:$AD$60,F40+2,FALSE)*'Carrières et points'!$C$13*'Carrières et points'!$C$15))/12*(1+'F0 - Données générales'!$L$13))*E40)</f>
        <v/>
      </c>
      <c r="K40" s="118" t="str">
        <f t="shared" si="6"/>
        <v/>
      </c>
      <c r="L40" s="109"/>
      <c r="M40" s="177"/>
      <c r="N40" s="118" t="str">
        <f t="shared" si="0"/>
        <v/>
      </c>
      <c r="O40" s="177"/>
      <c r="P40" s="177"/>
      <c r="Q40" s="177"/>
      <c r="R40" s="255" t="str">
        <f t="shared" si="7"/>
        <v/>
      </c>
      <c r="S40" s="120"/>
      <c r="T40" s="742" t="s">
        <v>61</v>
      </c>
      <c r="U40" s="742"/>
      <c r="V40" s="26" t="s">
        <v>68</v>
      </c>
      <c r="W40" s="741" t="s">
        <v>69</v>
      </c>
      <c r="X40" s="741"/>
      <c r="Y40" s="181">
        <f>SUMIFS('F3 - Relevé du personnel'!$E$4:$E$281,'F3 - Relevé du personnel'!$D$4:$D$281,$V40,'F3 - Relevé du personnel'!$C$4:$C$281,'F0 - Données générales'!$K$31,'F3 - Relevé du personnel'!$B$4:$B$281,"8.1")</f>
        <v>0</v>
      </c>
      <c r="Z40" s="181">
        <f>SUMIFS('F3 - Relevé du personnel'!$H$4:$H$281,'F3 - Relevé du personnel'!$D$4:$D$281,$V40,'F3 - Relevé du personnel'!$C$4:$C$281,'F0 - Données générales'!$K$31,'F3 - Relevé du personnel'!$B$4:$B$281,"8.1")</f>
        <v>0</v>
      </c>
      <c r="AA40" s="256">
        <f>SUMIFS('F3 - Relevé du personnel'!$I$4:$I$281,'F3 - Relevé du personnel'!$D$4:$D$281,$V40,'F3 - Relevé du personnel'!$C$4:$C$281,'F0 - Données générales'!$K$31,'F3 - Relevé du personnel'!$B$4:$B$281,"8.1")</f>
        <v>0</v>
      </c>
      <c r="AB40" s="256">
        <f>SUMIFS('F3 - Relevé du personnel'!$M$4:$M$281,'F3 - Relevé du personnel'!$D$4:$D$281,$V40,'F3 - Relevé du personnel'!$C$4:$C$281,'F0 - Données générales'!$K$31,'F3 - Relevé du personnel'!$B$4:$B$281,"8.1")</f>
        <v>0</v>
      </c>
      <c r="AC40" s="196">
        <f t="shared" si="26"/>
        <v>0</v>
      </c>
      <c r="AD40" s="256">
        <f>SUMIFS('F3 - Relevé du personnel'!$O$4:$O$281,'F3 - Relevé du personnel'!$D$4:$D$281,$V40,'F3 - Relevé du personnel'!$C$4:$C$281,'F0 - Données générales'!$K$31,'F3 - Relevé du personnel'!$B$4:$B$281,"8.1")</f>
        <v>0</v>
      </c>
      <c r="AE40" s="256">
        <f>SUMIFS('F3 - Relevé du personnel'!$P$4:$P$281,'F3 - Relevé du personnel'!$D$4:$D$281,$V40,'F3 - Relevé du personnel'!$C$4:$C$281,'F0 - Données générales'!$K$31,'F3 - Relevé du personnel'!$B$4:$B$281,"8.1")</f>
        <v>0</v>
      </c>
      <c r="AF40" s="256">
        <f>SUMIFS('F3 - Relevé du personnel'!$Q$4:$Q$281,'F3 - Relevé du personnel'!$D$4:$D$281,$V40,'F3 - Relevé du personnel'!$C$4:$C$281,'F0 - Données générales'!$K$31,'F3 - Relevé du personnel'!$B$4:$B$281,"8.1")</f>
        <v>0</v>
      </c>
      <c r="AG40" s="182">
        <f t="shared" si="27"/>
        <v>0</v>
      </c>
      <c r="AH40" s="197" t="str">
        <f t="shared" si="28"/>
        <v/>
      </c>
      <c r="AI40" s="198" t="str">
        <f>IF(Y40=0,"",(SUMPRODUCT(($D$4:$D$253=V40)*($C$4:$C$253='F0 - Données générales'!$K$31)*($E$4:$E$253)*($F$4:$F$253)*($B$4:$B$253="8.1"))+SUMPRODUCT(($D$257:$D$281=V40)*($C$257:$C$281='F0 - Données générales'!$K$31)*($B$257:$B$281="8.1")*($E$257:$E$281)*($F$257:$F$281)))/(SUMIFS('F3 - Relevé du personnel'!$E$4:$E$281,'F3 - Relevé du personnel'!$D$4:$D$281,$V40,'F3 - Relevé du personnel'!$C$4:$C$281,'F0 - Données générales'!$K$31,'F3 - Relevé du personnel'!$B$4:$B$281,"8.1")))</f>
        <v/>
      </c>
      <c r="AJ40" s="120"/>
      <c r="AK40" s="742" t="s">
        <v>61</v>
      </c>
      <c r="AL40" s="742"/>
      <c r="AM40" s="26" t="s">
        <v>68</v>
      </c>
      <c r="AN40" s="741" t="s">
        <v>69</v>
      </c>
      <c r="AO40" s="741"/>
      <c r="AP40" s="181">
        <f>SUMIFS('F3 - Relevé du personnel'!$E$4:$E$281,'F3 - Relevé du personnel'!$D$4:$D$281,$AM40,'F3 - Relevé du personnel'!$C$4:$C$281,'F0 - Données générales'!$K$31,'F3 - Relevé du personnel'!$B$4:$B$281,"psycho")</f>
        <v>0</v>
      </c>
      <c r="AQ40" s="181">
        <f>SUMIFS('F3 - Relevé du personnel'!$H$4:$H$281,'F3 - Relevé du personnel'!$D$4:$D$281,$AM40,'F3 - Relevé du personnel'!$C$4:$C$281,'F0 - Données générales'!$K$31,'F3 - Relevé du personnel'!$B$4:$B$281,"psycho")</f>
        <v>0</v>
      </c>
      <c r="AR40" s="256">
        <f>SUMIFS('F3 - Relevé du personnel'!$I$4:$I$281,'F3 - Relevé du personnel'!$D$4:$D$281,$AM40,'F3 - Relevé du personnel'!$C$4:$C$281,'F0 - Données générales'!$K$31,'F3 - Relevé du personnel'!$B$4:$B$281,"psycho")</f>
        <v>0</v>
      </c>
      <c r="AS40" s="256">
        <f>SUMIFS('F3 - Relevé du personnel'!$M$4:$M$281,'F3 - Relevé du personnel'!$D$4:$D$281,$AM40,'F3 - Relevé du personnel'!$C$4:$C$281,'F0 - Données générales'!$K$31,'F3 - Relevé du personnel'!$B$4:$B$281,"psycho")</f>
        <v>0</v>
      </c>
      <c r="AT40" s="196">
        <f t="shared" si="29"/>
        <v>0</v>
      </c>
      <c r="AU40" s="256">
        <f>SUMIFS('F3 - Relevé du personnel'!$O$4:$O$281,'F3 - Relevé du personnel'!$D$4:$D$281,$AM40,'F3 - Relevé du personnel'!$C$4:$C$281,'F0 - Données générales'!$K$31,'F3 - Relevé du personnel'!$B$4:$B$281,"psycho")</f>
        <v>0</v>
      </c>
      <c r="AV40" s="256">
        <f>SUMIFS('F3 - Relevé du personnel'!$P$4:$P$281,'F3 - Relevé du personnel'!$D$4:$D$281,$AM40,'F3 - Relevé du personnel'!$C$4:$C$281,'F0 - Données générales'!$K$31,'F3 - Relevé du personnel'!$B$4:$B$281,"psycho")</f>
        <v>0</v>
      </c>
      <c r="AW40" s="256">
        <f>SUMIFS('F3 - Relevé du personnel'!$Q$4:$Q$281,'F3 - Relevé du personnel'!$D$4:$D$281,$AM40,'F3 - Relevé du personnel'!$C$4:$C$281,'F0 - Données générales'!$K$31,'F3 - Relevé du personnel'!$B$4:$B$281,"psycho")</f>
        <v>0</v>
      </c>
      <c r="AX40" s="182">
        <f t="shared" si="30"/>
        <v>0</v>
      </c>
      <c r="AY40" s="197" t="str">
        <f t="shared" si="31"/>
        <v/>
      </c>
      <c r="AZ40" s="198" t="str">
        <f>IF(AP40=0,"",(SUMPRODUCT(($D$4:$D$253=AM40)*($C$4:$C$253='F0 - Données générales'!$K$31)*($E$4:$E$253)*($F$4:$F$253)*($B$4:$B$253="psycho"))+SUMPRODUCT(($D$257:$D$281=AM40)*($C$257:$C$281='F0 - Données générales'!$K$31)*($B$257:$B$281="psycho")*($E$257:$E$281)*($F$257:$F$281)))/(SUMIFS('F3 - Relevé du personnel'!$E$4:$E$281,'F3 - Relevé du personnel'!$D$4:$D$281,$AM40,'F3 - Relevé du personnel'!$C$4:$C$281,'F0 - Données générales'!$K$31,'F3 - Relevé du personnel'!$B$4:$B$281,"psycho")))</f>
        <v/>
      </c>
      <c r="BA40" s="120"/>
      <c r="BB40" s="770"/>
      <c r="BC40" s="771"/>
      <c r="BD40" s="770"/>
      <c r="BE40" s="781"/>
      <c r="BF40" s="771"/>
      <c r="BG40" s="813"/>
      <c r="BH40" s="813"/>
      <c r="BI40" s="813"/>
      <c r="BJ40" s="813"/>
      <c r="BK40" s="813"/>
      <c r="BL40" s="813"/>
      <c r="BM40" s="813"/>
      <c r="BN40" s="813"/>
      <c r="BO40" s="813"/>
      <c r="BP40" s="813"/>
      <c r="BR40" s="40"/>
      <c r="BS40" s="783"/>
      <c r="BT40" s="783"/>
      <c r="BU40" s="783"/>
      <c r="BV40" s="783"/>
      <c r="BW40" s="783"/>
      <c r="BX40" s="783"/>
      <c r="BY40" s="783"/>
      <c r="BZ40" s="783"/>
      <c r="CA40" s="783"/>
      <c r="CB40" s="783"/>
    </row>
    <row r="41" spans="1:80" ht="15" customHeight="1" x14ac:dyDescent="0.3">
      <c r="A41" s="106">
        <v>38</v>
      </c>
      <c r="B41" s="324">
        <f>'F0 - Données générales'!$C$4</f>
        <v>7</v>
      </c>
      <c r="C41" s="106" t="s">
        <v>95</v>
      </c>
      <c r="D41" s="106"/>
      <c r="E41" s="107"/>
      <c r="F41" s="108"/>
      <c r="G41" s="109"/>
      <c r="H41" s="110">
        <f t="shared" si="5"/>
        <v>0</v>
      </c>
      <c r="I41" s="177"/>
      <c r="J41" s="118" t="str">
        <f>IF(OR(D41="",F41=""),"",(((HLOOKUP(D41,'Carrières et points'!$A$20:$AD$60,F41+2,FALSE)*'Carrières et points'!$C$7*'Carrières et points'!$C$9)+(HLOOKUP(D41,'Carrières et points'!$A$20:$AD$60,F41+2,FALSE)*'Carrières et points'!$C$13*'Carrières et points'!$C$15))*(1+'F0 - Données générales'!$I$4)+((HLOOKUP(D41,'Carrières et points'!$A$20:$AD$60,F41+2,FALSE)*'Carrières et points'!$C$7*'Carrières et points'!$C$9)+(HLOOKUP(D41,'Carrières et points'!$A$20:$AD$60,F41+2,FALSE)*'Carrières et points'!$C$13*'Carrières et points'!$C$15))/12*(1+'F0 - Données générales'!$L$13))*E41)</f>
        <v/>
      </c>
      <c r="K41" s="118" t="str">
        <f t="shared" si="6"/>
        <v/>
      </c>
      <c r="L41" s="109"/>
      <c r="M41" s="177"/>
      <c r="N41" s="118" t="str">
        <f t="shared" si="0"/>
        <v/>
      </c>
      <c r="O41" s="177"/>
      <c r="P41" s="177"/>
      <c r="Q41" s="177"/>
      <c r="R41" s="255" t="str">
        <f t="shared" si="7"/>
        <v/>
      </c>
      <c r="S41" s="120"/>
      <c r="T41" s="742" t="s">
        <v>64</v>
      </c>
      <c r="U41" s="742"/>
      <c r="V41" s="26" t="s">
        <v>70</v>
      </c>
      <c r="W41" s="741" t="s">
        <v>71</v>
      </c>
      <c r="X41" s="741"/>
      <c r="Y41" s="181">
        <f>SUMIFS('F3 - Relevé du personnel'!$E$4:$E$281,'F3 - Relevé du personnel'!$D$4:$D$281,$V41,'F3 - Relevé du personnel'!$C$4:$C$281,'F0 - Données générales'!$K$31,'F3 - Relevé du personnel'!$B$4:$B$281,"8.1")</f>
        <v>0</v>
      </c>
      <c r="Z41" s="181">
        <f>SUMIFS('F3 - Relevé du personnel'!$H$4:$H$281,'F3 - Relevé du personnel'!$D$4:$D$281,$V41,'F3 - Relevé du personnel'!$C$4:$C$281,'F0 - Données générales'!$K$31,'F3 - Relevé du personnel'!$B$4:$B$281,"8.1")</f>
        <v>0</v>
      </c>
      <c r="AA41" s="256">
        <f>SUMIFS('F3 - Relevé du personnel'!$I$4:$I$281,'F3 - Relevé du personnel'!$D$4:$D$281,$V41,'F3 - Relevé du personnel'!$C$4:$C$281,'F0 - Données générales'!$K$31,'F3 - Relevé du personnel'!$B$4:$B$281,"8.1")</f>
        <v>0</v>
      </c>
      <c r="AB41" s="256">
        <f>SUMIFS('F3 - Relevé du personnel'!$M$4:$M$281,'F3 - Relevé du personnel'!$D$4:$D$281,$V41,'F3 - Relevé du personnel'!$C$4:$C$281,'F0 - Données générales'!$K$31,'F3 - Relevé du personnel'!$B$4:$B$281,"8.1")</f>
        <v>0</v>
      </c>
      <c r="AC41" s="196">
        <f t="shared" si="26"/>
        <v>0</v>
      </c>
      <c r="AD41" s="256">
        <f>SUMIFS('F3 - Relevé du personnel'!$O$4:$O$281,'F3 - Relevé du personnel'!$D$4:$D$281,$V41,'F3 - Relevé du personnel'!$C$4:$C$281,'F0 - Données générales'!$K$31,'F3 - Relevé du personnel'!$B$4:$B$281,"8.1")</f>
        <v>0</v>
      </c>
      <c r="AE41" s="256">
        <f>SUMIFS('F3 - Relevé du personnel'!$P$4:$P$281,'F3 - Relevé du personnel'!$D$4:$D$281,$V41,'F3 - Relevé du personnel'!$C$4:$C$281,'F0 - Données générales'!$K$31,'F3 - Relevé du personnel'!$B$4:$B$281,"8.1")</f>
        <v>0</v>
      </c>
      <c r="AF41" s="256">
        <f>SUMIFS('F3 - Relevé du personnel'!$Q$4:$Q$281,'F3 - Relevé du personnel'!$D$4:$D$281,$V41,'F3 - Relevé du personnel'!$C$4:$C$281,'F0 - Données générales'!$K$31,'F3 - Relevé du personnel'!$B$4:$B$281,"8.1")</f>
        <v>0</v>
      </c>
      <c r="AG41" s="182">
        <f t="shared" si="27"/>
        <v>0</v>
      </c>
      <c r="AH41" s="197" t="str">
        <f t="shared" si="28"/>
        <v/>
      </c>
      <c r="AI41" s="198" t="str">
        <f>IF(Y41=0,"",(SUMPRODUCT(($D$4:$D$253=V41)*($C$4:$C$253='F0 - Données générales'!$K$31)*($E$4:$E$253)*($F$4:$F$253)*($B$4:$B$253="8.1"))+SUMPRODUCT(($D$257:$D$281=V41)*($C$257:$C$281='F0 - Données générales'!$K$31)*($B$257:$B$281="8.1")*($E$257:$E$281)*($F$257:$F$281)))/(SUMIFS('F3 - Relevé du personnel'!$E$4:$E$281,'F3 - Relevé du personnel'!$D$4:$D$281,$V41,'F3 - Relevé du personnel'!$C$4:$C$281,'F0 - Données générales'!$K$31,'F3 - Relevé du personnel'!$B$4:$B$281,"8.1")))</f>
        <v/>
      </c>
      <c r="AJ41" s="120"/>
      <c r="AK41" s="742" t="s">
        <v>64</v>
      </c>
      <c r="AL41" s="742"/>
      <c r="AM41" s="26" t="s">
        <v>70</v>
      </c>
      <c r="AN41" s="741" t="s">
        <v>71</v>
      </c>
      <c r="AO41" s="741"/>
      <c r="AP41" s="181">
        <f>SUMIFS('F3 - Relevé du personnel'!$E$4:$E$281,'F3 - Relevé du personnel'!$D$4:$D$281,$AM41,'F3 - Relevé du personnel'!$C$4:$C$281,'F0 - Données générales'!$K$31,'F3 - Relevé du personnel'!$B$4:$B$281,"psycho")</f>
        <v>0</v>
      </c>
      <c r="AQ41" s="181">
        <f>SUMIFS('F3 - Relevé du personnel'!$H$4:$H$281,'F3 - Relevé du personnel'!$D$4:$D$281,$AM41,'F3 - Relevé du personnel'!$C$4:$C$281,'F0 - Données générales'!$K$31,'F3 - Relevé du personnel'!$B$4:$B$281,"psycho")</f>
        <v>0</v>
      </c>
      <c r="AR41" s="256">
        <f>SUMIFS('F3 - Relevé du personnel'!$I$4:$I$281,'F3 - Relevé du personnel'!$D$4:$D$281,$AM41,'F3 - Relevé du personnel'!$C$4:$C$281,'F0 - Données générales'!$K$31,'F3 - Relevé du personnel'!$B$4:$B$281,"psycho")</f>
        <v>0</v>
      </c>
      <c r="AS41" s="256">
        <f>SUMIFS('F3 - Relevé du personnel'!$M$4:$M$281,'F3 - Relevé du personnel'!$D$4:$D$281,$AM41,'F3 - Relevé du personnel'!$C$4:$C$281,'F0 - Données générales'!$K$31,'F3 - Relevé du personnel'!$B$4:$B$281,"psycho")</f>
        <v>0</v>
      </c>
      <c r="AT41" s="196">
        <f t="shared" si="29"/>
        <v>0</v>
      </c>
      <c r="AU41" s="256">
        <f>SUMIFS('F3 - Relevé du personnel'!$O$4:$O$281,'F3 - Relevé du personnel'!$D$4:$D$281,$AM41,'F3 - Relevé du personnel'!$C$4:$C$281,'F0 - Données générales'!$K$31,'F3 - Relevé du personnel'!$B$4:$B$281,"psycho")</f>
        <v>0</v>
      </c>
      <c r="AV41" s="256">
        <f>SUMIFS('F3 - Relevé du personnel'!$P$4:$P$281,'F3 - Relevé du personnel'!$D$4:$D$281,$AM41,'F3 - Relevé du personnel'!$C$4:$C$281,'F0 - Données générales'!$K$31,'F3 - Relevé du personnel'!$B$4:$B$281,"psycho")</f>
        <v>0</v>
      </c>
      <c r="AW41" s="256">
        <f>SUMIFS('F3 - Relevé du personnel'!$Q$4:$Q$281,'F3 - Relevé du personnel'!$D$4:$D$281,$AM41,'F3 - Relevé du personnel'!$C$4:$C$281,'F0 - Données générales'!$K$31,'F3 - Relevé du personnel'!$B$4:$B$281,"psycho")</f>
        <v>0</v>
      </c>
      <c r="AX41" s="182">
        <f t="shared" si="30"/>
        <v>0</v>
      </c>
      <c r="AY41" s="197" t="str">
        <f t="shared" si="31"/>
        <v/>
      </c>
      <c r="AZ41" s="198" t="str">
        <f>IF(AP41=0,"",(SUMPRODUCT(($D$4:$D$253=AM41)*($C$4:$C$253='F0 - Données générales'!$K$31)*($E$4:$E$253)*($F$4:$F$253)*($B$4:$B$253="psycho"))+SUMPRODUCT(($D$257:$D$281=AM41)*($C$257:$C$281='F0 - Données générales'!$K$31)*($B$257:$B$281="psycho")*($E$257:$E$281)*($F$257:$F$281)))/(SUMIFS('F3 - Relevé du personnel'!$E$4:$E$281,'F3 - Relevé du personnel'!$D$4:$D$281,$AM41,'F3 - Relevé du personnel'!$C$4:$C$281,'F0 - Données générales'!$K$31,'F3 - Relevé du personnel'!$B$4:$B$281,"psycho")))</f>
        <v/>
      </c>
      <c r="BA41" s="120"/>
      <c r="BB41" s="770"/>
      <c r="BC41" s="771"/>
      <c r="BD41" s="770"/>
      <c r="BE41" s="781"/>
      <c r="BF41" s="771"/>
      <c r="BG41" s="813"/>
      <c r="BH41" s="813"/>
      <c r="BI41" s="813"/>
      <c r="BJ41" s="813"/>
      <c r="BK41" s="813"/>
      <c r="BL41" s="813"/>
      <c r="BM41" s="813"/>
      <c r="BN41" s="813"/>
      <c r="BO41" s="813"/>
      <c r="BP41" s="813"/>
      <c r="BR41" s="40"/>
      <c r="BS41" s="783"/>
      <c r="BT41" s="783"/>
      <c r="BU41" s="783"/>
      <c r="BV41" s="783"/>
      <c r="BW41" s="783"/>
      <c r="BX41" s="783"/>
      <c r="BY41" s="783"/>
      <c r="BZ41" s="783"/>
      <c r="CA41" s="783"/>
      <c r="CB41" s="783"/>
    </row>
    <row r="42" spans="1:80" ht="15" customHeight="1" x14ac:dyDescent="0.3">
      <c r="A42" s="106">
        <v>39</v>
      </c>
      <c r="B42" s="324">
        <f>'F0 - Données générales'!$C$4</f>
        <v>7</v>
      </c>
      <c r="C42" s="106" t="s">
        <v>95</v>
      </c>
      <c r="D42" s="106"/>
      <c r="E42" s="107"/>
      <c r="F42" s="108"/>
      <c r="G42" s="109"/>
      <c r="H42" s="110">
        <f t="shared" si="5"/>
        <v>0</v>
      </c>
      <c r="I42" s="177"/>
      <c r="J42" s="118" t="str">
        <f>IF(OR(D42="",F42=""),"",(((HLOOKUP(D42,'Carrières et points'!$A$20:$AD$60,F42+2,FALSE)*'Carrières et points'!$C$7*'Carrières et points'!$C$9)+(HLOOKUP(D42,'Carrières et points'!$A$20:$AD$60,F42+2,FALSE)*'Carrières et points'!$C$13*'Carrières et points'!$C$15))*(1+'F0 - Données générales'!$I$4)+((HLOOKUP(D42,'Carrières et points'!$A$20:$AD$60,F42+2,FALSE)*'Carrières et points'!$C$7*'Carrières et points'!$C$9)+(HLOOKUP(D42,'Carrières et points'!$A$20:$AD$60,F42+2,FALSE)*'Carrières et points'!$C$13*'Carrières et points'!$C$15))/12*(1+'F0 - Données générales'!$L$13))*E42)</f>
        <v/>
      </c>
      <c r="K42" s="118" t="str">
        <f t="shared" si="6"/>
        <v/>
      </c>
      <c r="L42" s="109"/>
      <c r="M42" s="177"/>
      <c r="N42" s="118" t="str">
        <f t="shared" si="0"/>
        <v/>
      </c>
      <c r="O42" s="177"/>
      <c r="P42" s="177"/>
      <c r="Q42" s="177"/>
      <c r="R42" s="255" t="str">
        <f t="shared" si="7"/>
        <v/>
      </c>
      <c r="S42" s="120"/>
      <c r="T42" s="742" t="s">
        <v>64</v>
      </c>
      <c r="U42" s="742"/>
      <c r="V42" s="26" t="s">
        <v>72</v>
      </c>
      <c r="W42" s="741" t="s">
        <v>73</v>
      </c>
      <c r="X42" s="741"/>
      <c r="Y42" s="181">
        <f>SUMIFS('F3 - Relevé du personnel'!$E$4:$E$281,'F3 - Relevé du personnel'!$D$4:$D$281,$V42,'F3 - Relevé du personnel'!$C$4:$C$281,'F0 - Données générales'!$K$31,'F3 - Relevé du personnel'!$B$4:$B$281,"8.1")</f>
        <v>0</v>
      </c>
      <c r="Z42" s="181">
        <f>SUMIFS('F3 - Relevé du personnel'!$H$4:$H$281,'F3 - Relevé du personnel'!$D$4:$D$281,$V42,'F3 - Relevé du personnel'!$C$4:$C$281,'F0 - Données générales'!$K$31,'F3 - Relevé du personnel'!$B$4:$B$281,"8.1")</f>
        <v>0</v>
      </c>
      <c r="AA42" s="256">
        <f>SUMIFS('F3 - Relevé du personnel'!$I$4:$I$281,'F3 - Relevé du personnel'!$D$4:$D$281,$V42,'F3 - Relevé du personnel'!$C$4:$C$281,'F0 - Données générales'!$K$31,'F3 - Relevé du personnel'!$B$4:$B$281,"8.1")</f>
        <v>0</v>
      </c>
      <c r="AB42" s="256">
        <f>SUMIFS('F3 - Relevé du personnel'!$M$4:$M$281,'F3 - Relevé du personnel'!$D$4:$D$281,$V42,'F3 - Relevé du personnel'!$C$4:$C$281,'F0 - Données générales'!$K$31,'F3 - Relevé du personnel'!$B$4:$B$281,"8.1")</f>
        <v>0</v>
      </c>
      <c r="AC42" s="196">
        <f t="shared" si="26"/>
        <v>0</v>
      </c>
      <c r="AD42" s="256">
        <f>SUMIFS('F3 - Relevé du personnel'!$O$4:$O$281,'F3 - Relevé du personnel'!$D$4:$D$281,$V42,'F3 - Relevé du personnel'!$C$4:$C$281,'F0 - Données générales'!$K$31,'F3 - Relevé du personnel'!$B$4:$B$281,"8.1")</f>
        <v>0</v>
      </c>
      <c r="AE42" s="256">
        <f>SUMIFS('F3 - Relevé du personnel'!$P$4:$P$281,'F3 - Relevé du personnel'!$D$4:$D$281,$V42,'F3 - Relevé du personnel'!$C$4:$C$281,'F0 - Données générales'!$K$31,'F3 - Relevé du personnel'!$B$4:$B$281,"8.1")</f>
        <v>0</v>
      </c>
      <c r="AF42" s="256">
        <f>SUMIFS('F3 - Relevé du personnel'!$Q$4:$Q$281,'F3 - Relevé du personnel'!$D$4:$D$281,$V42,'F3 - Relevé du personnel'!$C$4:$C$281,'F0 - Données générales'!$K$31,'F3 - Relevé du personnel'!$B$4:$B$281,"8.1")</f>
        <v>0</v>
      </c>
      <c r="AG42" s="182">
        <f t="shared" si="27"/>
        <v>0</v>
      </c>
      <c r="AH42" s="197" t="str">
        <f t="shared" si="28"/>
        <v/>
      </c>
      <c r="AI42" s="198" t="str">
        <f>IF(Y42=0,"",(SUMPRODUCT(($D$4:$D$253=V42)*($C$4:$C$253='F0 - Données générales'!$K$31)*($E$4:$E$253)*($F$4:$F$253)*($B$4:$B$253="8.1"))+SUMPRODUCT(($D$257:$D$281=V42)*($C$257:$C$281='F0 - Données générales'!$K$31)*($B$257:$B$281="8.1")*($E$257:$E$281)*($F$257:$F$281)))/(SUMIFS('F3 - Relevé du personnel'!$E$4:$E$281,'F3 - Relevé du personnel'!$D$4:$D$281,$V42,'F3 - Relevé du personnel'!$C$4:$C$281,'F0 - Données générales'!$K$31,'F3 - Relevé du personnel'!$B$4:$B$281,"8.1")))</f>
        <v/>
      </c>
      <c r="AJ42" s="120"/>
      <c r="AK42" s="742" t="s">
        <v>64</v>
      </c>
      <c r="AL42" s="742"/>
      <c r="AM42" s="26" t="s">
        <v>72</v>
      </c>
      <c r="AN42" s="741" t="s">
        <v>73</v>
      </c>
      <c r="AO42" s="741"/>
      <c r="AP42" s="181">
        <f>SUMIFS('F3 - Relevé du personnel'!$E$4:$E$281,'F3 - Relevé du personnel'!$D$4:$D$281,$AM42,'F3 - Relevé du personnel'!$C$4:$C$281,'F0 - Données générales'!$K$31,'F3 - Relevé du personnel'!$B$4:$B$281,"psycho")</f>
        <v>0</v>
      </c>
      <c r="AQ42" s="181">
        <f>SUMIFS('F3 - Relevé du personnel'!$H$4:$H$281,'F3 - Relevé du personnel'!$D$4:$D$281,$AM42,'F3 - Relevé du personnel'!$C$4:$C$281,'F0 - Données générales'!$K$31,'F3 - Relevé du personnel'!$B$4:$B$281,"psycho")</f>
        <v>0</v>
      </c>
      <c r="AR42" s="256">
        <f>SUMIFS('F3 - Relevé du personnel'!$I$4:$I$281,'F3 - Relevé du personnel'!$D$4:$D$281,$AM42,'F3 - Relevé du personnel'!$C$4:$C$281,'F0 - Données générales'!$K$31,'F3 - Relevé du personnel'!$B$4:$B$281,"psycho")</f>
        <v>0</v>
      </c>
      <c r="AS42" s="256">
        <f>SUMIFS('F3 - Relevé du personnel'!$M$4:$M$281,'F3 - Relevé du personnel'!$D$4:$D$281,$AM42,'F3 - Relevé du personnel'!$C$4:$C$281,'F0 - Données générales'!$K$31,'F3 - Relevé du personnel'!$B$4:$B$281,"psycho")</f>
        <v>0</v>
      </c>
      <c r="AT42" s="196">
        <f t="shared" si="29"/>
        <v>0</v>
      </c>
      <c r="AU42" s="256">
        <f>SUMIFS('F3 - Relevé du personnel'!$O$4:$O$281,'F3 - Relevé du personnel'!$D$4:$D$281,$AM42,'F3 - Relevé du personnel'!$C$4:$C$281,'F0 - Données générales'!$K$31,'F3 - Relevé du personnel'!$B$4:$B$281,"psycho")</f>
        <v>0</v>
      </c>
      <c r="AV42" s="256">
        <f>SUMIFS('F3 - Relevé du personnel'!$P$4:$P$281,'F3 - Relevé du personnel'!$D$4:$D$281,$AM42,'F3 - Relevé du personnel'!$C$4:$C$281,'F0 - Données générales'!$K$31,'F3 - Relevé du personnel'!$B$4:$B$281,"psycho")</f>
        <v>0</v>
      </c>
      <c r="AW42" s="256">
        <f>SUMIFS('F3 - Relevé du personnel'!$Q$4:$Q$281,'F3 - Relevé du personnel'!$D$4:$D$281,$AM42,'F3 - Relevé du personnel'!$C$4:$C$281,'F0 - Données générales'!$K$31,'F3 - Relevé du personnel'!$B$4:$B$281,"psycho")</f>
        <v>0</v>
      </c>
      <c r="AX42" s="182">
        <f t="shared" si="30"/>
        <v>0</v>
      </c>
      <c r="AY42" s="197" t="str">
        <f t="shared" si="31"/>
        <v/>
      </c>
      <c r="AZ42" s="198" t="str">
        <f>IF(AP42=0,"",(SUMPRODUCT(($D$4:$D$253=AM42)*($C$4:$C$253='F0 - Données générales'!$K$31)*($E$4:$E$253)*($F$4:$F$253)*($B$4:$B$253="psycho"))+SUMPRODUCT(($D$257:$D$281=AM42)*($C$257:$C$281='F0 - Données générales'!$K$31)*($B$257:$B$281="psycho")*($E$257:$E$281)*($F$257:$F$281)))/(SUMIFS('F3 - Relevé du personnel'!$E$4:$E$281,'F3 - Relevé du personnel'!$D$4:$D$281,$AM42,'F3 - Relevé du personnel'!$C$4:$C$281,'F0 - Données générales'!$K$31,'F3 - Relevé du personnel'!$B$4:$B$281,"psycho")))</f>
        <v/>
      </c>
      <c r="BA42" s="120"/>
      <c r="BB42" s="772"/>
      <c r="BC42" s="773"/>
      <c r="BD42" s="772"/>
      <c r="BE42" s="782"/>
      <c r="BF42" s="773"/>
      <c r="BG42" s="814"/>
      <c r="BH42" s="814"/>
      <c r="BI42" s="814"/>
      <c r="BJ42" s="814"/>
      <c r="BK42" s="814"/>
      <c r="BL42" s="814"/>
      <c r="BM42" s="814"/>
      <c r="BN42" s="814"/>
      <c r="BO42" s="814"/>
      <c r="BP42" s="814"/>
      <c r="BR42" s="40"/>
      <c r="BS42" s="783"/>
      <c r="BT42" s="783"/>
      <c r="BU42" s="783"/>
      <c r="BV42" s="783"/>
      <c r="BW42" s="783"/>
      <c r="BX42" s="783"/>
      <c r="BY42" s="783"/>
      <c r="BZ42" s="783"/>
      <c r="CA42" s="783"/>
      <c r="CB42" s="783"/>
    </row>
    <row r="43" spans="1:80" ht="15" customHeight="1" x14ac:dyDescent="0.3">
      <c r="A43" s="106">
        <v>40</v>
      </c>
      <c r="B43" s="324">
        <f>'F0 - Données générales'!$C$4</f>
        <v>7</v>
      </c>
      <c r="C43" s="106" t="s">
        <v>95</v>
      </c>
      <c r="D43" s="106"/>
      <c r="E43" s="107"/>
      <c r="F43" s="108"/>
      <c r="G43" s="109"/>
      <c r="H43" s="110">
        <f t="shared" si="5"/>
        <v>0</v>
      </c>
      <c r="I43" s="177"/>
      <c r="J43" s="118" t="str">
        <f>IF(OR(D43="",F43=""),"",(((HLOOKUP(D43,'Carrières et points'!$A$20:$AD$60,F43+2,FALSE)*'Carrières et points'!$C$7*'Carrières et points'!$C$9)+(HLOOKUP(D43,'Carrières et points'!$A$20:$AD$60,F43+2,FALSE)*'Carrières et points'!$C$13*'Carrières et points'!$C$15))*(1+'F0 - Données générales'!$I$4)+((HLOOKUP(D43,'Carrières et points'!$A$20:$AD$60,F43+2,FALSE)*'Carrières et points'!$C$7*'Carrières et points'!$C$9)+(HLOOKUP(D43,'Carrières et points'!$A$20:$AD$60,F43+2,FALSE)*'Carrières et points'!$C$13*'Carrières et points'!$C$15))/12*(1+'F0 - Données générales'!$L$13))*E43)</f>
        <v/>
      </c>
      <c r="K43" s="118" t="str">
        <f t="shared" si="6"/>
        <v/>
      </c>
      <c r="L43" s="109"/>
      <c r="M43" s="177"/>
      <c r="N43" s="118" t="str">
        <f t="shared" si="0"/>
        <v/>
      </c>
      <c r="O43" s="177"/>
      <c r="P43" s="177"/>
      <c r="Q43" s="177"/>
      <c r="R43" s="255" t="str">
        <f t="shared" si="7"/>
        <v/>
      </c>
      <c r="S43" s="120"/>
      <c r="T43" s="742" t="s">
        <v>65</v>
      </c>
      <c r="U43" s="742"/>
      <c r="V43" s="26" t="s">
        <v>74</v>
      </c>
      <c r="W43" s="741" t="s">
        <v>75</v>
      </c>
      <c r="X43" s="741"/>
      <c r="Y43" s="181">
        <f>SUMIFS('F3 - Relevé du personnel'!$E$4:$E$281,'F3 - Relevé du personnel'!$D$4:$D$281,$V43,'F3 - Relevé du personnel'!$C$4:$C$281,'F0 - Données générales'!$K$31,'F3 - Relevé du personnel'!$B$4:$B$281,"8.1")</f>
        <v>0</v>
      </c>
      <c r="Z43" s="181">
        <f>SUMIFS('F3 - Relevé du personnel'!$H$4:$H$281,'F3 - Relevé du personnel'!$D$4:$D$281,$V43,'F3 - Relevé du personnel'!$C$4:$C$281,'F0 - Données générales'!$K$31,'F3 - Relevé du personnel'!$B$4:$B$281,"8.1")</f>
        <v>0</v>
      </c>
      <c r="AA43" s="256">
        <f>SUMIFS('F3 - Relevé du personnel'!$I$4:$I$281,'F3 - Relevé du personnel'!$D$4:$D$281,$V43,'F3 - Relevé du personnel'!$C$4:$C$281,'F0 - Données générales'!$K$31,'F3 - Relevé du personnel'!$B$4:$B$281,"8.1")</f>
        <v>0</v>
      </c>
      <c r="AB43" s="256">
        <f>SUMIFS('F3 - Relevé du personnel'!$M$4:$M$281,'F3 - Relevé du personnel'!$D$4:$D$281,$V43,'F3 - Relevé du personnel'!$C$4:$C$281,'F0 - Données générales'!$K$31,'F3 - Relevé du personnel'!$B$4:$B$281,"8.1")</f>
        <v>0</v>
      </c>
      <c r="AC43" s="196">
        <f t="shared" si="26"/>
        <v>0</v>
      </c>
      <c r="AD43" s="256">
        <f>SUMIFS('F3 - Relevé du personnel'!$O$4:$O$281,'F3 - Relevé du personnel'!$D$4:$D$281,$V43,'F3 - Relevé du personnel'!$C$4:$C$281,'F0 - Données générales'!$K$31,'F3 - Relevé du personnel'!$B$4:$B$281,"8.1")</f>
        <v>0</v>
      </c>
      <c r="AE43" s="256">
        <f>SUMIFS('F3 - Relevé du personnel'!$P$4:$P$281,'F3 - Relevé du personnel'!$D$4:$D$281,$V43,'F3 - Relevé du personnel'!$C$4:$C$281,'F0 - Données générales'!$K$31,'F3 - Relevé du personnel'!$B$4:$B$281,"8.1")</f>
        <v>0</v>
      </c>
      <c r="AF43" s="256">
        <f>SUMIFS('F3 - Relevé du personnel'!$Q$4:$Q$281,'F3 - Relevé du personnel'!$D$4:$D$281,$V43,'F3 - Relevé du personnel'!$C$4:$C$281,'F0 - Données générales'!$K$31,'F3 - Relevé du personnel'!$B$4:$B$281,"8.1")</f>
        <v>0</v>
      </c>
      <c r="AG43" s="182">
        <f t="shared" si="27"/>
        <v>0</v>
      </c>
      <c r="AH43" s="197" t="str">
        <f t="shared" si="28"/>
        <v/>
      </c>
      <c r="AI43" s="198" t="str">
        <f>IF(Y43=0,"",(SUMPRODUCT(($D$4:$D$253=V43)*($C$4:$C$253='F0 - Données générales'!$K$31)*($E$4:$E$253)*($F$4:$F$253)*($B$4:$B$253="8.1"))+SUMPRODUCT(($D$257:$D$281=V43)*($C$257:$C$281='F0 - Données générales'!$K$31)*($B$257:$B$281="8.1")*($E$257:$E$281)*($F$257:$F$281)))/(SUMIFS('F3 - Relevé du personnel'!$E$4:$E$281,'F3 - Relevé du personnel'!$D$4:$D$281,$V43,'F3 - Relevé du personnel'!$C$4:$C$281,'F0 - Données générales'!$K$31,'F3 - Relevé du personnel'!$B$4:$B$281,"8.1")))</f>
        <v/>
      </c>
      <c r="AJ43" s="120"/>
      <c r="AK43" s="742" t="s">
        <v>65</v>
      </c>
      <c r="AL43" s="742"/>
      <c r="AM43" s="26" t="s">
        <v>74</v>
      </c>
      <c r="AN43" s="741" t="s">
        <v>75</v>
      </c>
      <c r="AO43" s="741"/>
      <c r="AP43" s="181">
        <f>SUMIFS('F3 - Relevé du personnel'!$E$4:$E$281,'F3 - Relevé du personnel'!$D$4:$D$281,$AM43,'F3 - Relevé du personnel'!$C$4:$C$281,'F0 - Données générales'!$K$31,'F3 - Relevé du personnel'!$B$4:$B$281,"psycho")</f>
        <v>0</v>
      </c>
      <c r="AQ43" s="181">
        <f>SUMIFS('F3 - Relevé du personnel'!$H$4:$H$281,'F3 - Relevé du personnel'!$D$4:$D$281,$AM43,'F3 - Relevé du personnel'!$C$4:$C$281,'F0 - Données générales'!$K$31,'F3 - Relevé du personnel'!$B$4:$B$281,"psycho")</f>
        <v>0</v>
      </c>
      <c r="AR43" s="256">
        <f>SUMIFS('F3 - Relevé du personnel'!$I$4:$I$281,'F3 - Relevé du personnel'!$D$4:$D$281,$AM43,'F3 - Relevé du personnel'!$C$4:$C$281,'F0 - Données générales'!$K$31,'F3 - Relevé du personnel'!$B$4:$B$281,"psycho")</f>
        <v>0</v>
      </c>
      <c r="AS43" s="256">
        <f>SUMIFS('F3 - Relevé du personnel'!$M$4:$M$281,'F3 - Relevé du personnel'!$D$4:$D$281,$AM43,'F3 - Relevé du personnel'!$C$4:$C$281,'F0 - Données générales'!$K$31,'F3 - Relevé du personnel'!$B$4:$B$281,"psycho")</f>
        <v>0</v>
      </c>
      <c r="AT43" s="196">
        <f t="shared" si="29"/>
        <v>0</v>
      </c>
      <c r="AU43" s="256">
        <f>SUMIFS('F3 - Relevé du personnel'!$O$4:$O$281,'F3 - Relevé du personnel'!$D$4:$D$281,$AM43,'F3 - Relevé du personnel'!$C$4:$C$281,'F0 - Données générales'!$K$31,'F3 - Relevé du personnel'!$B$4:$B$281,"psycho")</f>
        <v>0</v>
      </c>
      <c r="AV43" s="256">
        <f>SUMIFS('F3 - Relevé du personnel'!$P$4:$P$281,'F3 - Relevé du personnel'!$D$4:$D$281,$AM43,'F3 - Relevé du personnel'!$C$4:$C$281,'F0 - Données générales'!$K$31,'F3 - Relevé du personnel'!$B$4:$B$281,"psycho")</f>
        <v>0</v>
      </c>
      <c r="AW43" s="256">
        <f>SUMIFS('F3 - Relevé du personnel'!$Q$4:$Q$281,'F3 - Relevé du personnel'!$D$4:$D$281,$AM43,'F3 - Relevé du personnel'!$C$4:$C$281,'F0 - Données générales'!$K$31,'F3 - Relevé du personnel'!$B$4:$B$281,"psycho")</f>
        <v>0</v>
      </c>
      <c r="AX43" s="182">
        <f t="shared" si="30"/>
        <v>0</v>
      </c>
      <c r="AY43" s="197" t="str">
        <f t="shared" si="31"/>
        <v/>
      </c>
      <c r="AZ43" s="198" t="str">
        <f>IF(AP43=0,"",(SUMPRODUCT(($D$4:$D$253=AM43)*($C$4:$C$253='F0 - Données générales'!$K$31)*($E$4:$E$253)*($F$4:$F$253)*($B$4:$B$253="psycho"))+SUMPRODUCT(($D$257:$D$281=AM43)*($C$257:$C$281='F0 - Données générales'!$K$31)*($B$257:$B$281="psycho")*($E$257:$E$281)*($F$257:$F$281)))/(SUMIFS('F3 - Relevé du personnel'!$E$4:$E$281,'F3 - Relevé du personnel'!$D$4:$D$281,$AM43,'F3 - Relevé du personnel'!$C$4:$C$281,'F0 - Données générales'!$K$31,'F3 - Relevé du personnel'!$B$4:$B$281,"psycho")))</f>
        <v/>
      </c>
      <c r="BA43" s="120"/>
      <c r="BB43" s="760" t="s">
        <v>61</v>
      </c>
      <c r="BC43" s="761"/>
      <c r="BD43" s="13" t="s">
        <v>62</v>
      </c>
      <c r="BE43" s="766" t="s">
        <v>63</v>
      </c>
      <c r="BF43" s="767"/>
      <c r="BG43" s="45">
        <f>SUMIFS('F3 - Relevé du personnel'!$E$4:$E$281,'F3 - Relevé du personnel'!$D$4:$D$281,$BD43,'F3 - Relevé du personnel'!$C$4:$C$281,'F0 - Données générales'!$K$32)</f>
        <v>0</v>
      </c>
      <c r="BH43" s="259">
        <f>SUMIFS('F3 - Relevé du personnel'!$I$4:$I$281,'F3 - Relevé du personnel'!$D$4:$D$281,$BD43,'F3 - Relevé du personnel'!$C$4:$C$281,'F0 - Données générales'!$K$32)</f>
        <v>0</v>
      </c>
      <c r="BI43" s="259">
        <f>SUMIFS('F3 - Relevé du personnel'!$M$4:$M$281,'F3 - Relevé du personnel'!$D$4:$D$281,$BD43,'F3 - Relevé du personnel'!$C$4:$C$281,'F0 - Données générales'!$K$32)</f>
        <v>0</v>
      </c>
      <c r="BJ43" s="189">
        <f>(BH43+BI43)</f>
        <v>0</v>
      </c>
      <c r="BK43" s="259">
        <f>SUMIFS('F3 - Relevé du personnel'!$O$4:$O$281,'F3 - Relevé du personnel'!$D$4:$D$281,$BD43,'F3 - Relevé du personnel'!$C$4:$C$281,'F0 - Données générales'!$K$32)</f>
        <v>0</v>
      </c>
      <c r="BL43" s="259">
        <f>SUMIFS('F3 - Relevé du personnel'!$P$4:$P$281,'F3 - Relevé du personnel'!$D$4:$D$281,$BD43,'F3 - Relevé du personnel'!$C$4:$C$281,'F0 - Données générales'!$K$32)</f>
        <v>0</v>
      </c>
      <c r="BM43" s="259">
        <f>SUMIFS('F3 - Relevé du personnel'!$Q$4:$Q$281,'F3 - Relevé du personnel'!$D$4:$D$281,$BD43,'F3 - Relevé du personnel'!$C$4:$C$281,'F0 - Données générales'!$K$32)</f>
        <v>0</v>
      </c>
      <c r="BN43" s="48">
        <f>BH43+BI43-SUM(BK43:BM43)</f>
        <v>0</v>
      </c>
      <c r="BO43" s="187" t="str">
        <f>IF(BG43=0,"",(BN43)/BG43)</f>
        <v/>
      </c>
      <c r="BP43" s="188" t="str">
        <f>IF(BG43=0,"",(SUMPRODUCT(($D$4:$D$253=BD43)*($C$4:$C$253='F0 - Données générales'!$K$32)*($E$4:$E$253)*($F$4:$F$253))+SUMPRODUCT(($D$257:$D$281=BD43)*($C$257:$C$281='F0 - Données générales'!$K$32)*($E$257:$E$281)*($F$257:$F$281)))/(SUMIFS('F3 - Relevé du personnel'!$E$4:$E$281,'F3 - Relevé du personnel'!$D$4:$D$281,$BD43,'F3 - Relevé du personnel'!$C$4:$C$281,'F0 - Données générales'!$K$32)))</f>
        <v/>
      </c>
      <c r="BQ43" s="171"/>
      <c r="BR43" s="170"/>
      <c r="BS43" s="257">
        <f>SUM(E257:E281)</f>
        <v>0</v>
      </c>
      <c r="BT43" s="258">
        <f>SUM(I257:I281)</f>
        <v>0</v>
      </c>
      <c r="BU43" s="258">
        <f t="shared" ref="BU43:BZ43" si="32">SUM(M257:M281)</f>
        <v>0</v>
      </c>
      <c r="BV43" s="258">
        <f t="shared" si="32"/>
        <v>0</v>
      </c>
      <c r="BW43" s="258">
        <f t="shared" si="32"/>
        <v>0</v>
      </c>
      <c r="BX43" s="258">
        <f t="shared" si="32"/>
        <v>0</v>
      </c>
      <c r="BY43" s="258">
        <f t="shared" si="32"/>
        <v>0</v>
      </c>
      <c r="BZ43" s="258">
        <f t="shared" si="32"/>
        <v>0</v>
      </c>
      <c r="CA43" s="258">
        <f>IF(BS43=0,0,BZ43/BS43)</f>
        <v>0</v>
      </c>
      <c r="CB43" s="258" t="e">
        <f>IF('F0 - Données générales'!$H$5="journalier",'F3 - Relevé du personnel'!BZ43/'F2 - Données facturation'!$Y$30,IF('F0 - Données générales'!$H$5="horaire",'F3 - Relevé du personnel'!BZ43/'F2 - Données facturation'!$AA$20,0))</f>
        <v>#DIV/0!</v>
      </c>
    </row>
    <row r="44" spans="1:80" ht="15" customHeight="1" x14ac:dyDescent="0.3">
      <c r="A44" s="106">
        <v>41</v>
      </c>
      <c r="B44" s="324">
        <f>'F0 - Données générales'!$C$4</f>
        <v>7</v>
      </c>
      <c r="C44" s="106" t="s">
        <v>95</v>
      </c>
      <c r="D44" s="106"/>
      <c r="E44" s="107"/>
      <c r="F44" s="108"/>
      <c r="G44" s="109"/>
      <c r="H44" s="110">
        <f t="shared" si="5"/>
        <v>0</v>
      </c>
      <c r="I44" s="177"/>
      <c r="J44" s="118" t="str">
        <f>IF(OR(D44="",F44=""),"",(((HLOOKUP(D44,'Carrières et points'!$A$20:$AD$60,F44+2,FALSE)*'Carrières et points'!$C$7*'Carrières et points'!$C$9)+(HLOOKUP(D44,'Carrières et points'!$A$20:$AD$60,F44+2,FALSE)*'Carrières et points'!$C$13*'Carrières et points'!$C$15))*(1+'F0 - Données générales'!$I$4)+((HLOOKUP(D44,'Carrières et points'!$A$20:$AD$60,F44+2,FALSE)*'Carrières et points'!$C$7*'Carrières et points'!$C$9)+(HLOOKUP(D44,'Carrières et points'!$A$20:$AD$60,F44+2,FALSE)*'Carrières et points'!$C$13*'Carrières et points'!$C$15))/12*(1+'F0 - Données générales'!$L$13))*E44)</f>
        <v/>
      </c>
      <c r="K44" s="118" t="str">
        <f t="shared" si="6"/>
        <v/>
      </c>
      <c r="L44" s="109"/>
      <c r="M44" s="177"/>
      <c r="N44" s="118" t="str">
        <f t="shared" si="0"/>
        <v/>
      </c>
      <c r="O44" s="177"/>
      <c r="P44" s="177"/>
      <c r="Q44" s="177"/>
      <c r="R44" s="255" t="str">
        <f t="shared" si="7"/>
        <v/>
      </c>
      <c r="S44" s="120"/>
      <c r="T44" s="742" t="s">
        <v>65</v>
      </c>
      <c r="U44" s="742"/>
      <c r="V44" s="26" t="s">
        <v>76</v>
      </c>
      <c r="W44" s="741" t="s">
        <v>77</v>
      </c>
      <c r="X44" s="741"/>
      <c r="Y44" s="181">
        <f>SUMIFS('F3 - Relevé du personnel'!$E$4:$E$281,'F3 - Relevé du personnel'!$D$4:$D$281,$V44,'F3 - Relevé du personnel'!$C$4:$C$281,'F0 - Données générales'!$K$31,'F3 - Relevé du personnel'!$B$4:$B$281,"8.1")</f>
        <v>0</v>
      </c>
      <c r="Z44" s="181">
        <f>SUMIFS('F3 - Relevé du personnel'!$H$4:$H$281,'F3 - Relevé du personnel'!$D$4:$D$281,$V44,'F3 - Relevé du personnel'!$C$4:$C$281,'F0 - Données générales'!$K$31,'F3 - Relevé du personnel'!$B$4:$B$281,"8.1")</f>
        <v>0</v>
      </c>
      <c r="AA44" s="256">
        <f>SUMIFS('F3 - Relevé du personnel'!$I$4:$I$281,'F3 - Relevé du personnel'!$D$4:$D$281,$V44,'F3 - Relevé du personnel'!$C$4:$C$281,'F0 - Données générales'!$K$31,'F3 - Relevé du personnel'!$B$4:$B$281,"8.1")</f>
        <v>0</v>
      </c>
      <c r="AB44" s="256">
        <f>SUMIFS('F3 - Relevé du personnel'!$M$4:$M$281,'F3 - Relevé du personnel'!$D$4:$D$281,$V44,'F3 - Relevé du personnel'!$C$4:$C$281,'F0 - Données générales'!$K$31,'F3 - Relevé du personnel'!$B$4:$B$281,"8.1")</f>
        <v>0</v>
      </c>
      <c r="AC44" s="196">
        <f t="shared" si="26"/>
        <v>0</v>
      </c>
      <c r="AD44" s="256">
        <f>SUMIFS('F3 - Relevé du personnel'!$O$4:$O$281,'F3 - Relevé du personnel'!$D$4:$D$281,$V44,'F3 - Relevé du personnel'!$C$4:$C$281,'F0 - Données générales'!$K$31,'F3 - Relevé du personnel'!$B$4:$B$281,"8.1")</f>
        <v>0</v>
      </c>
      <c r="AE44" s="256">
        <f>SUMIFS('F3 - Relevé du personnel'!$P$4:$P$281,'F3 - Relevé du personnel'!$D$4:$D$281,$V44,'F3 - Relevé du personnel'!$C$4:$C$281,'F0 - Données générales'!$K$31,'F3 - Relevé du personnel'!$B$4:$B$281,"8.1")</f>
        <v>0</v>
      </c>
      <c r="AF44" s="256">
        <f>SUMIFS('F3 - Relevé du personnel'!$Q$4:$Q$281,'F3 - Relevé du personnel'!$D$4:$D$281,$V44,'F3 - Relevé du personnel'!$C$4:$C$281,'F0 - Données générales'!$K$31,'F3 - Relevé du personnel'!$B$4:$B$281,"8.1")</f>
        <v>0</v>
      </c>
      <c r="AG44" s="182">
        <f t="shared" si="27"/>
        <v>0</v>
      </c>
      <c r="AH44" s="197" t="str">
        <f t="shared" si="28"/>
        <v/>
      </c>
      <c r="AI44" s="198" t="str">
        <f>IF(Y44=0,"",(SUMPRODUCT(($D$4:$D$253=V44)*($C$4:$C$253='F0 - Données générales'!$K$31)*($E$4:$E$253)*($F$4:$F$253)*($B$4:$B$253="8.1"))+SUMPRODUCT(($D$257:$D$281=V44)*($C$257:$C$281='F0 - Données générales'!$K$31)*($B$257:$B$281="8.1")*($E$257:$E$281)*($F$257:$F$281)))/(SUMIFS('F3 - Relevé du personnel'!$E$4:$E$281,'F3 - Relevé du personnel'!$D$4:$D$281,$V44,'F3 - Relevé du personnel'!$C$4:$C$281,'F0 - Données générales'!$K$31,'F3 - Relevé du personnel'!$B$4:$B$281,"8.1")))</f>
        <v/>
      </c>
      <c r="AJ44" s="120"/>
      <c r="AK44" s="742" t="s">
        <v>65</v>
      </c>
      <c r="AL44" s="742"/>
      <c r="AM44" s="26" t="s">
        <v>76</v>
      </c>
      <c r="AN44" s="741" t="s">
        <v>77</v>
      </c>
      <c r="AO44" s="741"/>
      <c r="AP44" s="181">
        <f>SUMIFS('F3 - Relevé du personnel'!$E$4:$E$281,'F3 - Relevé du personnel'!$D$4:$D$281,$AM44,'F3 - Relevé du personnel'!$C$4:$C$281,'F0 - Données générales'!$K$31,'F3 - Relevé du personnel'!$B$4:$B$281,"psycho")</f>
        <v>0</v>
      </c>
      <c r="AQ44" s="181">
        <f>SUMIFS('F3 - Relevé du personnel'!$H$4:$H$281,'F3 - Relevé du personnel'!$D$4:$D$281,$AM44,'F3 - Relevé du personnel'!$C$4:$C$281,'F0 - Données générales'!$K$31,'F3 - Relevé du personnel'!$B$4:$B$281,"psycho")</f>
        <v>0</v>
      </c>
      <c r="AR44" s="256">
        <f>SUMIFS('F3 - Relevé du personnel'!$I$4:$I$281,'F3 - Relevé du personnel'!$D$4:$D$281,$AM44,'F3 - Relevé du personnel'!$C$4:$C$281,'F0 - Données générales'!$K$31,'F3 - Relevé du personnel'!$B$4:$B$281,"psycho")</f>
        <v>0</v>
      </c>
      <c r="AS44" s="256">
        <f>SUMIFS('F3 - Relevé du personnel'!$M$4:$M$281,'F3 - Relevé du personnel'!$D$4:$D$281,$AM44,'F3 - Relevé du personnel'!$C$4:$C$281,'F0 - Données générales'!$K$31,'F3 - Relevé du personnel'!$B$4:$B$281,"psycho")</f>
        <v>0</v>
      </c>
      <c r="AT44" s="196">
        <f t="shared" si="29"/>
        <v>0</v>
      </c>
      <c r="AU44" s="256">
        <f>SUMIFS('F3 - Relevé du personnel'!$O$4:$O$281,'F3 - Relevé du personnel'!$D$4:$D$281,$AM44,'F3 - Relevé du personnel'!$C$4:$C$281,'F0 - Données générales'!$K$31,'F3 - Relevé du personnel'!$B$4:$B$281,"psycho")</f>
        <v>0</v>
      </c>
      <c r="AV44" s="256">
        <f>SUMIFS('F3 - Relevé du personnel'!$P$4:$P$281,'F3 - Relevé du personnel'!$D$4:$D$281,$AM44,'F3 - Relevé du personnel'!$C$4:$C$281,'F0 - Données générales'!$K$31,'F3 - Relevé du personnel'!$B$4:$B$281,"psycho")</f>
        <v>0</v>
      </c>
      <c r="AW44" s="256">
        <f>SUMIFS('F3 - Relevé du personnel'!$Q$4:$Q$281,'F3 - Relevé du personnel'!$D$4:$D$281,$AM44,'F3 - Relevé du personnel'!$C$4:$C$281,'F0 - Données générales'!$K$31,'F3 - Relevé du personnel'!$B$4:$B$281,"psycho")</f>
        <v>0</v>
      </c>
      <c r="AX44" s="182">
        <f t="shared" si="30"/>
        <v>0</v>
      </c>
      <c r="AY44" s="197" t="str">
        <f t="shared" si="31"/>
        <v/>
      </c>
      <c r="AZ44" s="198" t="str">
        <f>IF(AP44=0,"",(SUMPRODUCT(($D$4:$D$253=AM44)*($C$4:$C$253='F0 - Données générales'!$K$31)*($E$4:$E$253)*($F$4:$F$253)*($B$4:$B$253="psycho"))+SUMPRODUCT(($D$257:$D$281=AM44)*($C$257:$C$281='F0 - Données générales'!$K$31)*($B$257:$B$281="psycho")*($E$257:$E$281)*($F$257:$F$281)))/(SUMIFS('F3 - Relevé du personnel'!$E$4:$E$281,'F3 - Relevé du personnel'!$D$4:$D$281,$AM44,'F3 - Relevé du personnel'!$C$4:$C$281,'F0 - Données générales'!$K$31,'F3 - Relevé du personnel'!$B$4:$B$281,"psycho")))</f>
        <v/>
      </c>
      <c r="BA44" s="120"/>
      <c r="BB44" s="760" t="s">
        <v>65</v>
      </c>
      <c r="BC44" s="761"/>
      <c r="BD44" s="13" t="s">
        <v>66</v>
      </c>
      <c r="BE44" s="758" t="s">
        <v>67</v>
      </c>
      <c r="BF44" s="759"/>
      <c r="BG44" s="45">
        <f>SUMIFS('F3 - Relevé du personnel'!$E$4:$E$281,'F3 - Relevé du personnel'!$D$4:$D$281,$BD44,'F3 - Relevé du personnel'!$C$4:$C$281,'F0 - Données générales'!$K$32)</f>
        <v>0</v>
      </c>
      <c r="BH44" s="259">
        <f>SUMIFS('F3 - Relevé du personnel'!$I$4:$I$281,'F3 - Relevé du personnel'!$D$4:$D$281,$BD44,'F3 - Relevé du personnel'!$C$4:$C$281,'F0 - Données générales'!$K$32)</f>
        <v>0</v>
      </c>
      <c r="BI44" s="259">
        <f>SUMIFS('F3 - Relevé du personnel'!$M$4:$M$281,'F3 - Relevé du personnel'!$D$4:$D$281,$BD44,'F3 - Relevé du personnel'!$C$4:$C$281,'F0 - Données générales'!$K$32)</f>
        <v>0</v>
      </c>
      <c r="BJ44" s="189">
        <f t="shared" ref="BJ44:BJ72" si="33">(BH44+BI44)</f>
        <v>0</v>
      </c>
      <c r="BK44" s="259">
        <f>SUMIFS('F3 - Relevé du personnel'!$O$4:$O$281,'F3 - Relevé du personnel'!$D$4:$D$281,$BD44,'F3 - Relevé du personnel'!$C$4:$C$281,'F0 - Données générales'!$K$32)</f>
        <v>0</v>
      </c>
      <c r="BL44" s="259">
        <f>SUMIFS('F3 - Relevé du personnel'!$P$4:$P$281,'F3 - Relevé du personnel'!$D$4:$D$281,$BD44,'F3 - Relevé du personnel'!$C$4:$C$281,'F0 - Données générales'!$K$32)</f>
        <v>0</v>
      </c>
      <c r="BM44" s="259">
        <f>SUMIFS('F3 - Relevé du personnel'!$Q$4:$Q$281,'F3 - Relevé du personnel'!$D$4:$D$281,$BD44,'F3 - Relevé du personnel'!$C$4:$C$281,'F0 - Données générales'!$K$32)</f>
        <v>0</v>
      </c>
      <c r="BN44" s="48">
        <f t="shared" ref="BN44:BN51" si="34">BH44+BI44-SUM(BK44:BM44)</f>
        <v>0</v>
      </c>
      <c r="BO44" s="187" t="str">
        <f t="shared" ref="BO44:BO73" si="35">IF(BG44=0,"",(BN44)/BG44)</f>
        <v/>
      </c>
      <c r="BP44" s="188" t="str">
        <f>IF(BG44=0,"",(SUMPRODUCT(($D$4:$D$253=BD44)*($C$4:$C$253='F0 - Données générales'!$K$32)*($E$4:$E$253)*($F$4:$F$253))+SUMPRODUCT(($D$257:$D$281=BD44)*($C$257:$C$281='F0 - Données générales'!$K$32)*($E$257:$E$281)*($F$257:$F$281)))/(SUMIFS('F3 - Relevé du personnel'!$E$4:$E$281,'F3 - Relevé du personnel'!$D$4:$D$281,$BD44,'F3 - Relevé du personnel'!$C$4:$C$281,'F0 - Données générales'!$K$32)))</f>
        <v/>
      </c>
      <c r="BQ44" s="171"/>
      <c r="BR44" s="170"/>
      <c r="BS44" s="172"/>
      <c r="BT44" s="172"/>
      <c r="BU44" s="133"/>
      <c r="BV44" s="63"/>
    </row>
    <row r="45" spans="1:80" ht="15" customHeight="1" x14ac:dyDescent="0.3">
      <c r="A45" s="106">
        <v>42</v>
      </c>
      <c r="B45" s="324">
        <f>'F0 - Données générales'!$C$4</f>
        <v>7</v>
      </c>
      <c r="C45" s="106" t="s">
        <v>95</v>
      </c>
      <c r="D45" s="106"/>
      <c r="E45" s="107"/>
      <c r="F45" s="108"/>
      <c r="G45" s="109"/>
      <c r="H45" s="110">
        <f t="shared" si="5"/>
        <v>0</v>
      </c>
      <c r="I45" s="177"/>
      <c r="J45" s="118" t="str">
        <f>IF(OR(D45="",F45=""),"",(((HLOOKUP(D45,'Carrières et points'!$A$20:$AD$60,F45+2,FALSE)*'Carrières et points'!$C$7*'Carrières et points'!$C$9)+(HLOOKUP(D45,'Carrières et points'!$A$20:$AD$60,F45+2,FALSE)*'Carrières et points'!$C$13*'Carrières et points'!$C$15))*(1+'F0 - Données générales'!$I$4)+((HLOOKUP(D45,'Carrières et points'!$A$20:$AD$60,F45+2,FALSE)*'Carrières et points'!$C$7*'Carrières et points'!$C$9)+(HLOOKUP(D45,'Carrières et points'!$A$20:$AD$60,F45+2,FALSE)*'Carrières et points'!$C$13*'Carrières et points'!$C$15))/12*(1+'F0 - Données générales'!$L$13))*E45)</f>
        <v/>
      </c>
      <c r="K45" s="118" t="str">
        <f t="shared" si="6"/>
        <v/>
      </c>
      <c r="L45" s="109"/>
      <c r="M45" s="177"/>
      <c r="N45" s="118" t="str">
        <f t="shared" si="0"/>
        <v/>
      </c>
      <c r="O45" s="177"/>
      <c r="P45" s="177"/>
      <c r="Q45" s="177"/>
      <c r="R45" s="255" t="str">
        <f t="shared" si="7"/>
        <v/>
      </c>
      <c r="S45" s="120"/>
      <c r="T45" s="742" t="s">
        <v>65</v>
      </c>
      <c r="U45" s="742"/>
      <c r="V45" s="26" t="s">
        <v>252</v>
      </c>
      <c r="W45" s="741" t="s">
        <v>78</v>
      </c>
      <c r="X45" s="741"/>
      <c r="Y45" s="181">
        <f>SUMIFS('F3 - Relevé du personnel'!$E$4:$E$281,'F3 - Relevé du personnel'!$D$4:$D$281,$V45,'F3 - Relevé du personnel'!$C$4:$C$281,'F0 - Données générales'!$K$31,'F3 - Relevé du personnel'!$B$4:$B$281,"8.1")</f>
        <v>0</v>
      </c>
      <c r="Z45" s="181">
        <f>SUMIFS('F3 - Relevé du personnel'!$H$4:$H$281,'F3 - Relevé du personnel'!$D$4:$D$281,$V45,'F3 - Relevé du personnel'!$C$4:$C$281,'F0 - Données générales'!$K$31,'F3 - Relevé du personnel'!$B$4:$B$281,"8.1")</f>
        <v>0</v>
      </c>
      <c r="AA45" s="256">
        <f>SUMIFS('F3 - Relevé du personnel'!$I$4:$I$281,'F3 - Relevé du personnel'!$D$4:$D$281,$V45,'F3 - Relevé du personnel'!$C$4:$C$281,'F0 - Données générales'!$K$31,'F3 - Relevé du personnel'!$B$4:$B$281,"8.1")</f>
        <v>0</v>
      </c>
      <c r="AB45" s="256">
        <f>SUMIFS('F3 - Relevé du personnel'!$M$4:$M$281,'F3 - Relevé du personnel'!$D$4:$D$281,$V45,'F3 - Relevé du personnel'!$C$4:$C$281,'F0 - Données générales'!$K$31,'F3 - Relevé du personnel'!$B$4:$B$281,"8.1")</f>
        <v>0</v>
      </c>
      <c r="AC45" s="196">
        <f t="shared" si="26"/>
        <v>0</v>
      </c>
      <c r="AD45" s="256">
        <f>SUMIFS('F3 - Relevé du personnel'!$O$4:$O$281,'F3 - Relevé du personnel'!$D$4:$D$281,$V45,'F3 - Relevé du personnel'!$C$4:$C$281,'F0 - Données générales'!$K$31,'F3 - Relevé du personnel'!$B$4:$B$281,"8.1")</f>
        <v>0</v>
      </c>
      <c r="AE45" s="256">
        <f>SUMIFS('F3 - Relevé du personnel'!$P$4:$P$281,'F3 - Relevé du personnel'!$D$4:$D$281,$V45,'F3 - Relevé du personnel'!$C$4:$C$281,'F0 - Données générales'!$K$31,'F3 - Relevé du personnel'!$B$4:$B$281,"8.1")</f>
        <v>0</v>
      </c>
      <c r="AF45" s="256">
        <f>SUMIFS('F3 - Relevé du personnel'!$Q$4:$Q$281,'F3 - Relevé du personnel'!$D$4:$D$281,$V45,'F3 - Relevé du personnel'!$C$4:$C$281,'F0 - Données générales'!$K$31,'F3 - Relevé du personnel'!$B$4:$B$281,"8.1")</f>
        <v>0</v>
      </c>
      <c r="AG45" s="182">
        <f t="shared" si="27"/>
        <v>0</v>
      </c>
      <c r="AH45" s="197" t="str">
        <f t="shared" si="28"/>
        <v/>
      </c>
      <c r="AI45" s="198" t="str">
        <f>IF(Y45=0,"",(SUMPRODUCT(($D$4:$D$253=V45)*($C$4:$C$253='F0 - Données générales'!$K$31)*($E$4:$E$253)*($F$4:$F$253)*($B$4:$B$253="8.1"))+SUMPRODUCT(($D$257:$D$281=V45)*($C$257:$C$281='F0 - Données générales'!$K$31)*($B$257:$B$281="8.1")*($E$257:$E$281)*($F$257:$F$281)))/(SUMIFS('F3 - Relevé du personnel'!$E$4:$E$281,'F3 - Relevé du personnel'!$D$4:$D$281,$V45,'F3 - Relevé du personnel'!$C$4:$C$281,'F0 - Données générales'!$K$31,'F3 - Relevé du personnel'!$B$4:$B$281,"8.1")))</f>
        <v/>
      </c>
      <c r="AJ45" s="120"/>
      <c r="AK45" s="742" t="s">
        <v>65</v>
      </c>
      <c r="AL45" s="742"/>
      <c r="AM45" s="26" t="s">
        <v>252</v>
      </c>
      <c r="AN45" s="741" t="s">
        <v>78</v>
      </c>
      <c r="AO45" s="741"/>
      <c r="AP45" s="181">
        <f>SUMIFS('F3 - Relevé du personnel'!$E$4:$E$281,'F3 - Relevé du personnel'!$D$4:$D$281,$AM45,'F3 - Relevé du personnel'!$C$4:$C$281,'F0 - Données générales'!$K$31,'F3 - Relevé du personnel'!$B$4:$B$281,"psycho")</f>
        <v>0</v>
      </c>
      <c r="AQ45" s="181">
        <f>SUMIFS('F3 - Relevé du personnel'!$H$4:$H$281,'F3 - Relevé du personnel'!$D$4:$D$281,$AM45,'F3 - Relevé du personnel'!$C$4:$C$281,'F0 - Données générales'!$K$31,'F3 - Relevé du personnel'!$B$4:$B$281,"psycho")</f>
        <v>0</v>
      </c>
      <c r="AR45" s="256">
        <f>SUMIFS('F3 - Relevé du personnel'!$I$4:$I$281,'F3 - Relevé du personnel'!$D$4:$D$281,$AM45,'F3 - Relevé du personnel'!$C$4:$C$281,'F0 - Données générales'!$K$31,'F3 - Relevé du personnel'!$B$4:$B$281,"psycho")</f>
        <v>0</v>
      </c>
      <c r="AS45" s="256">
        <f>SUMIFS('F3 - Relevé du personnel'!$M$4:$M$281,'F3 - Relevé du personnel'!$D$4:$D$281,$AM45,'F3 - Relevé du personnel'!$C$4:$C$281,'F0 - Données générales'!$K$31,'F3 - Relevé du personnel'!$B$4:$B$281,"psycho")</f>
        <v>0</v>
      </c>
      <c r="AT45" s="196">
        <f t="shared" si="29"/>
        <v>0</v>
      </c>
      <c r="AU45" s="256">
        <f>SUMIFS('F3 - Relevé du personnel'!$O$4:$O$281,'F3 - Relevé du personnel'!$D$4:$D$281,$AM45,'F3 - Relevé du personnel'!$C$4:$C$281,'F0 - Données générales'!$K$31,'F3 - Relevé du personnel'!$B$4:$B$281,"psycho")</f>
        <v>0</v>
      </c>
      <c r="AV45" s="256">
        <f>SUMIFS('F3 - Relevé du personnel'!$P$4:$P$281,'F3 - Relevé du personnel'!$D$4:$D$281,$AM45,'F3 - Relevé du personnel'!$C$4:$C$281,'F0 - Données générales'!$K$31,'F3 - Relevé du personnel'!$B$4:$B$281,"psycho")</f>
        <v>0</v>
      </c>
      <c r="AW45" s="256">
        <f>SUMIFS('F3 - Relevé du personnel'!$Q$4:$Q$281,'F3 - Relevé du personnel'!$D$4:$D$281,$AM45,'F3 - Relevé du personnel'!$C$4:$C$281,'F0 - Données générales'!$K$31,'F3 - Relevé du personnel'!$B$4:$B$281,"psycho")</f>
        <v>0</v>
      </c>
      <c r="AX45" s="182">
        <f t="shared" si="30"/>
        <v>0</v>
      </c>
      <c r="AY45" s="197" t="str">
        <f t="shared" si="31"/>
        <v/>
      </c>
      <c r="AZ45" s="198" t="str">
        <f>IF(AP45=0,"",(SUMPRODUCT(($D$4:$D$253=AM45)*($C$4:$C$253='F0 - Données générales'!$K$31)*($E$4:$E$253)*($F$4:$F$253)*($B$4:$B$253="psycho"))+SUMPRODUCT(($D$257:$D$281=AM45)*($C$257:$C$281='F0 - Données générales'!$K$31)*($B$257:$B$281="psycho")*($E$257:$E$281)*($F$257:$F$281)))/(SUMIFS('F3 - Relevé du personnel'!$E$4:$E$281,'F3 - Relevé du personnel'!$D$4:$D$281,$AM45,'F3 - Relevé du personnel'!$C$4:$C$281,'F0 - Données générales'!$K$31,'F3 - Relevé du personnel'!$B$4:$B$281,"psycho")))</f>
        <v/>
      </c>
      <c r="BA45" s="120"/>
      <c r="BB45" s="760" t="s">
        <v>61</v>
      </c>
      <c r="BC45" s="761"/>
      <c r="BD45" s="13" t="s">
        <v>68</v>
      </c>
      <c r="BE45" s="758" t="s">
        <v>69</v>
      </c>
      <c r="BF45" s="759"/>
      <c r="BG45" s="45">
        <f>SUMIFS('F3 - Relevé du personnel'!$E$4:$E$281,'F3 - Relevé du personnel'!$D$4:$D$281,$BD45,'F3 - Relevé du personnel'!$C$4:$C$281,'F0 - Données générales'!$K$32)</f>
        <v>0</v>
      </c>
      <c r="BH45" s="259">
        <f>SUMIFS('F3 - Relevé du personnel'!$I$4:$I$281,'F3 - Relevé du personnel'!$D$4:$D$281,$BD45,'F3 - Relevé du personnel'!$C$4:$C$281,'F0 - Données générales'!$K$32)</f>
        <v>0</v>
      </c>
      <c r="BI45" s="259">
        <f>SUMIFS('F3 - Relevé du personnel'!$M$4:$M$281,'F3 - Relevé du personnel'!$D$4:$D$281,$BD45,'F3 - Relevé du personnel'!$C$4:$C$281,'F0 - Données générales'!$K$32)</f>
        <v>0</v>
      </c>
      <c r="BJ45" s="189">
        <f t="shared" si="33"/>
        <v>0</v>
      </c>
      <c r="BK45" s="259">
        <f>SUMIFS('F3 - Relevé du personnel'!$O$4:$O$281,'F3 - Relevé du personnel'!$D$4:$D$281,$BD45,'F3 - Relevé du personnel'!$C$4:$C$281,'F0 - Données générales'!$K$32)</f>
        <v>0</v>
      </c>
      <c r="BL45" s="259">
        <f>SUMIFS('F3 - Relevé du personnel'!$P$4:$P$281,'F3 - Relevé du personnel'!$D$4:$D$281,$BD45,'F3 - Relevé du personnel'!$C$4:$C$281,'F0 - Données générales'!$K$32)</f>
        <v>0</v>
      </c>
      <c r="BM45" s="259">
        <f>SUMIFS('F3 - Relevé du personnel'!$Q$4:$Q$281,'F3 - Relevé du personnel'!$D$4:$D$281,$BD45,'F3 - Relevé du personnel'!$C$4:$C$281,'F0 - Données générales'!$K$32)</f>
        <v>0</v>
      </c>
      <c r="BN45" s="48">
        <f t="shared" si="34"/>
        <v>0</v>
      </c>
      <c r="BO45" s="187" t="str">
        <f t="shared" si="35"/>
        <v/>
      </c>
      <c r="BP45" s="188" t="str">
        <f>IF(BG45=0,"",(SUMPRODUCT(($D$4:$D$253=BD45)*($C$4:$C$253='F0 - Données générales'!$K$32)*($E$4:$E$253)*($F$4:$F$253))+SUMPRODUCT(($D$257:$D$281=BD45)*($C$257:$C$281='F0 - Données générales'!$K$32)*($E$257:$E$281)*($F$257:$F$281)))/(SUMIFS('F3 - Relevé du personnel'!$E$4:$E$281,'F3 - Relevé du personnel'!$D$4:$D$281,$BD45,'F3 - Relevé du personnel'!$C$4:$C$281,'F0 - Données générales'!$K$32)))</f>
        <v/>
      </c>
      <c r="BQ45" s="171"/>
      <c r="BR45" s="170"/>
      <c r="BS45" s="1" t="s">
        <v>324</v>
      </c>
    </row>
    <row r="46" spans="1:80" ht="15" customHeight="1" x14ac:dyDescent="0.3">
      <c r="A46" s="106">
        <v>43</v>
      </c>
      <c r="B46" s="324">
        <f>'F0 - Données générales'!$C$4</f>
        <v>7</v>
      </c>
      <c r="C46" s="106" t="s">
        <v>95</v>
      </c>
      <c r="D46" s="106"/>
      <c r="E46" s="107"/>
      <c r="F46" s="108"/>
      <c r="G46" s="109"/>
      <c r="H46" s="110">
        <f t="shared" si="5"/>
        <v>0</v>
      </c>
      <c r="I46" s="177"/>
      <c r="J46" s="118" t="str">
        <f>IF(OR(D46="",F46=""),"",(((HLOOKUP(D46,'Carrières et points'!$A$20:$AD$60,F46+2,FALSE)*'Carrières et points'!$C$7*'Carrières et points'!$C$9)+(HLOOKUP(D46,'Carrières et points'!$A$20:$AD$60,F46+2,FALSE)*'Carrières et points'!$C$13*'Carrières et points'!$C$15))*(1+'F0 - Données générales'!$I$4)+((HLOOKUP(D46,'Carrières et points'!$A$20:$AD$60,F46+2,FALSE)*'Carrières et points'!$C$7*'Carrières et points'!$C$9)+(HLOOKUP(D46,'Carrières et points'!$A$20:$AD$60,F46+2,FALSE)*'Carrières et points'!$C$13*'Carrières et points'!$C$15))/12*(1+'F0 - Données générales'!$L$13))*E46)</f>
        <v/>
      </c>
      <c r="K46" s="118" t="str">
        <f t="shared" si="6"/>
        <v/>
      </c>
      <c r="L46" s="109"/>
      <c r="M46" s="177"/>
      <c r="N46" s="118" t="str">
        <f t="shared" si="0"/>
        <v/>
      </c>
      <c r="O46" s="177"/>
      <c r="P46" s="177"/>
      <c r="Q46" s="177"/>
      <c r="R46" s="255" t="str">
        <f t="shared" si="7"/>
        <v/>
      </c>
      <c r="S46" s="120"/>
      <c r="T46" s="742" t="s">
        <v>79</v>
      </c>
      <c r="U46" s="742"/>
      <c r="V46" s="26" t="s">
        <v>253</v>
      </c>
      <c r="W46" s="741" t="s">
        <v>78</v>
      </c>
      <c r="X46" s="741"/>
      <c r="Y46" s="181">
        <f>SUMIFS('F3 - Relevé du personnel'!$E$4:$E$281,'F3 - Relevé du personnel'!$D$4:$D$281,$V46,'F3 - Relevé du personnel'!$C$4:$C$281,'F0 - Données générales'!$K$31,'F3 - Relevé du personnel'!$B$4:$B$281,"8.1")</f>
        <v>0</v>
      </c>
      <c r="Z46" s="181">
        <f>SUMIFS('F3 - Relevé du personnel'!$H$4:$H$281,'F3 - Relevé du personnel'!$D$4:$D$281,$V46,'F3 - Relevé du personnel'!$C$4:$C$281,'F0 - Données générales'!$K$31,'F3 - Relevé du personnel'!$B$4:$B$281,"8.1")</f>
        <v>0</v>
      </c>
      <c r="AA46" s="256">
        <f>SUMIFS('F3 - Relevé du personnel'!$I$4:$I$281,'F3 - Relevé du personnel'!$D$4:$D$281,$V46,'F3 - Relevé du personnel'!$C$4:$C$281,'F0 - Données générales'!$K$31,'F3 - Relevé du personnel'!$B$4:$B$281,"8.1")</f>
        <v>0</v>
      </c>
      <c r="AB46" s="256">
        <f>SUMIFS('F3 - Relevé du personnel'!$M$4:$M$281,'F3 - Relevé du personnel'!$D$4:$D$281,$V46,'F3 - Relevé du personnel'!$C$4:$C$281,'F0 - Données générales'!$K$31,'F3 - Relevé du personnel'!$B$4:$B$281,"8.1")</f>
        <v>0</v>
      </c>
      <c r="AC46" s="196">
        <f t="shared" si="26"/>
        <v>0</v>
      </c>
      <c r="AD46" s="256">
        <f>SUMIFS('F3 - Relevé du personnel'!$O$4:$O$281,'F3 - Relevé du personnel'!$D$4:$D$281,$V46,'F3 - Relevé du personnel'!$C$4:$C$281,'F0 - Données générales'!$K$31,'F3 - Relevé du personnel'!$B$4:$B$281,"8.1")</f>
        <v>0</v>
      </c>
      <c r="AE46" s="256">
        <f>SUMIFS('F3 - Relevé du personnel'!$P$4:$P$281,'F3 - Relevé du personnel'!$D$4:$D$281,$V46,'F3 - Relevé du personnel'!$C$4:$C$281,'F0 - Données générales'!$K$31,'F3 - Relevé du personnel'!$B$4:$B$281,"8.1")</f>
        <v>0</v>
      </c>
      <c r="AF46" s="256">
        <f>SUMIFS('F3 - Relevé du personnel'!$Q$4:$Q$281,'F3 - Relevé du personnel'!$D$4:$D$281,$V46,'F3 - Relevé du personnel'!$C$4:$C$281,'F0 - Données générales'!$K$31,'F3 - Relevé du personnel'!$B$4:$B$281,"8.1")</f>
        <v>0</v>
      </c>
      <c r="AG46" s="182">
        <f t="shared" si="27"/>
        <v>0</v>
      </c>
      <c r="AH46" s="197" t="str">
        <f t="shared" si="28"/>
        <v/>
      </c>
      <c r="AI46" s="198" t="str">
        <f>IF(Y46=0,"",(SUMPRODUCT(($D$4:$D$253=V46)*($C$4:$C$253='F0 - Données générales'!$K$31)*($E$4:$E$253)*($F$4:$F$253)*($B$4:$B$253="8.1"))+SUMPRODUCT(($D$257:$D$281=V46)*($C$257:$C$281='F0 - Données générales'!$K$31)*($B$257:$B$281="8.1")*($E$257:$E$281)*($F$257:$F$281)))/(SUMIFS('F3 - Relevé du personnel'!$E$4:$E$281,'F3 - Relevé du personnel'!$D$4:$D$281,$V46,'F3 - Relevé du personnel'!$C$4:$C$281,'F0 - Données générales'!$K$31,'F3 - Relevé du personnel'!$B$4:$B$281,"8.1")))</f>
        <v/>
      </c>
      <c r="AJ46" s="120"/>
      <c r="AK46" s="742" t="s">
        <v>79</v>
      </c>
      <c r="AL46" s="742"/>
      <c r="AM46" s="26" t="s">
        <v>253</v>
      </c>
      <c r="AN46" s="741" t="s">
        <v>78</v>
      </c>
      <c r="AO46" s="741"/>
      <c r="AP46" s="181">
        <f>SUMIFS('F3 - Relevé du personnel'!$E$4:$E$281,'F3 - Relevé du personnel'!$D$4:$D$281,$AM46,'F3 - Relevé du personnel'!$C$4:$C$281,'F0 - Données générales'!$K$31,'F3 - Relevé du personnel'!$B$4:$B$281,"psycho")</f>
        <v>0</v>
      </c>
      <c r="AQ46" s="181">
        <f>SUMIFS('F3 - Relevé du personnel'!$H$4:$H$281,'F3 - Relevé du personnel'!$D$4:$D$281,$AM46,'F3 - Relevé du personnel'!$C$4:$C$281,'F0 - Données générales'!$K$31,'F3 - Relevé du personnel'!$B$4:$B$281,"psycho")</f>
        <v>0</v>
      </c>
      <c r="AR46" s="256">
        <f>SUMIFS('F3 - Relevé du personnel'!$I$4:$I$281,'F3 - Relevé du personnel'!$D$4:$D$281,$AM46,'F3 - Relevé du personnel'!$C$4:$C$281,'F0 - Données générales'!$K$31,'F3 - Relevé du personnel'!$B$4:$B$281,"psycho")</f>
        <v>0</v>
      </c>
      <c r="AS46" s="256">
        <f>SUMIFS('F3 - Relevé du personnel'!$M$4:$M$281,'F3 - Relevé du personnel'!$D$4:$D$281,$AM46,'F3 - Relevé du personnel'!$C$4:$C$281,'F0 - Données générales'!$K$31,'F3 - Relevé du personnel'!$B$4:$B$281,"psycho")</f>
        <v>0</v>
      </c>
      <c r="AT46" s="196">
        <f t="shared" si="29"/>
        <v>0</v>
      </c>
      <c r="AU46" s="256">
        <f>SUMIFS('F3 - Relevé du personnel'!$O$4:$O$281,'F3 - Relevé du personnel'!$D$4:$D$281,$AM46,'F3 - Relevé du personnel'!$C$4:$C$281,'F0 - Données générales'!$K$31,'F3 - Relevé du personnel'!$B$4:$B$281,"psycho")</f>
        <v>0</v>
      </c>
      <c r="AV46" s="256">
        <f>SUMIFS('F3 - Relevé du personnel'!$P$4:$P$281,'F3 - Relevé du personnel'!$D$4:$D$281,$AM46,'F3 - Relevé du personnel'!$C$4:$C$281,'F0 - Données générales'!$K$31,'F3 - Relevé du personnel'!$B$4:$B$281,"psycho")</f>
        <v>0</v>
      </c>
      <c r="AW46" s="256">
        <f>SUMIFS('F3 - Relevé du personnel'!$Q$4:$Q$281,'F3 - Relevé du personnel'!$D$4:$D$281,$AM46,'F3 - Relevé du personnel'!$C$4:$C$281,'F0 - Données générales'!$K$31,'F3 - Relevé du personnel'!$B$4:$B$281,"psycho")</f>
        <v>0</v>
      </c>
      <c r="AX46" s="182">
        <f t="shared" si="30"/>
        <v>0</v>
      </c>
      <c r="AY46" s="197" t="str">
        <f t="shared" si="31"/>
        <v/>
      </c>
      <c r="AZ46" s="198" t="str">
        <f>IF(AP46=0,"",(SUMPRODUCT(($D$4:$D$253=AM46)*($C$4:$C$253='F0 - Données générales'!$K$31)*($E$4:$E$253)*($F$4:$F$253)*($B$4:$B$253="psycho"))+SUMPRODUCT(($D$257:$D$281=AM46)*($C$257:$C$281='F0 - Données générales'!$K$31)*($B$257:$B$281="psycho")*($E$257:$E$281)*($F$257:$F$281)))/(SUMIFS('F3 - Relevé du personnel'!$E$4:$E$281,'F3 - Relevé du personnel'!$D$4:$D$281,$AM46,'F3 - Relevé du personnel'!$C$4:$C$281,'F0 - Données générales'!$K$31,'F3 - Relevé du personnel'!$B$4:$B$281,"psycho")))</f>
        <v/>
      </c>
      <c r="BA46" s="120"/>
      <c r="BB46" s="760" t="s">
        <v>64</v>
      </c>
      <c r="BC46" s="761"/>
      <c r="BD46" s="13" t="s">
        <v>70</v>
      </c>
      <c r="BE46" s="758" t="s">
        <v>71</v>
      </c>
      <c r="BF46" s="759"/>
      <c r="BG46" s="45">
        <f>SUMIFS('F3 - Relevé du personnel'!$E$4:$E$281,'F3 - Relevé du personnel'!$D$4:$D$281,$BD46,'F3 - Relevé du personnel'!$C$4:$C$281,'F0 - Données générales'!$K$32)</f>
        <v>0</v>
      </c>
      <c r="BH46" s="259">
        <f>SUMIFS('F3 - Relevé du personnel'!$I$4:$I$281,'F3 - Relevé du personnel'!$D$4:$D$281,$BD46,'F3 - Relevé du personnel'!$C$4:$C$281,'F0 - Données générales'!$K$32)</f>
        <v>0</v>
      </c>
      <c r="BI46" s="259">
        <f>SUMIFS('F3 - Relevé du personnel'!$M$4:$M$281,'F3 - Relevé du personnel'!$D$4:$D$281,$BD46,'F3 - Relevé du personnel'!$C$4:$C$281,'F0 - Données générales'!$K$32)</f>
        <v>0</v>
      </c>
      <c r="BJ46" s="189">
        <f t="shared" si="33"/>
        <v>0</v>
      </c>
      <c r="BK46" s="259">
        <f>SUMIFS('F3 - Relevé du personnel'!$O$4:$O$281,'F3 - Relevé du personnel'!$D$4:$D$281,$BD46,'F3 - Relevé du personnel'!$C$4:$C$281,'F0 - Données générales'!$K$32)</f>
        <v>0</v>
      </c>
      <c r="BL46" s="259">
        <f>SUMIFS('F3 - Relevé du personnel'!$P$4:$P$281,'F3 - Relevé du personnel'!$D$4:$D$281,$BD46,'F3 - Relevé du personnel'!$C$4:$C$281,'F0 - Données générales'!$K$32)</f>
        <v>0</v>
      </c>
      <c r="BM46" s="259">
        <f>SUMIFS('F3 - Relevé du personnel'!$Q$4:$Q$281,'F3 - Relevé du personnel'!$D$4:$D$281,$BD46,'F3 - Relevé du personnel'!$C$4:$C$281,'F0 - Données générales'!$K$32)</f>
        <v>0</v>
      </c>
      <c r="BN46" s="48">
        <f t="shared" si="34"/>
        <v>0</v>
      </c>
      <c r="BO46" s="187" t="str">
        <f t="shared" si="35"/>
        <v/>
      </c>
      <c r="BP46" s="188" t="str">
        <f>IF(BG46=0,"",(SUMPRODUCT(($D$4:$D$253=BD46)*($C$4:$C$253='F0 - Données générales'!$K$32)*($E$4:$E$253)*($F$4:$F$253))+SUMPRODUCT(($D$257:$D$281=BD46)*($C$257:$C$281='F0 - Données générales'!$K$32)*($E$257:$E$281)*($F$257:$F$281)))/(SUMIFS('F3 - Relevé du personnel'!$E$4:$E$281,'F3 - Relevé du personnel'!$D$4:$D$281,$BD46,'F3 - Relevé du personnel'!$C$4:$C$281,'F0 - Données générales'!$K$32)))</f>
        <v/>
      </c>
      <c r="BQ46" s="171"/>
      <c r="BR46" s="170"/>
      <c r="BS46" s="783" t="s">
        <v>325</v>
      </c>
      <c r="BT46" s="783" t="s">
        <v>318</v>
      </c>
      <c r="BU46" s="783" t="s">
        <v>304</v>
      </c>
      <c r="BV46" s="783" t="s">
        <v>326</v>
      </c>
      <c r="BW46" s="783" t="s">
        <v>284</v>
      </c>
      <c r="BX46" s="783" t="s">
        <v>59</v>
      </c>
      <c r="BY46" s="783" t="s">
        <v>60</v>
      </c>
      <c r="BZ46" s="783" t="s">
        <v>327</v>
      </c>
      <c r="CA46" s="783" t="s">
        <v>735</v>
      </c>
      <c r="CB46" s="783" t="s">
        <v>334</v>
      </c>
    </row>
    <row r="47" spans="1:80" ht="15" customHeight="1" x14ac:dyDescent="0.3">
      <c r="A47" s="106">
        <v>44</v>
      </c>
      <c r="B47" s="324">
        <f>'F0 - Données générales'!$C$4</f>
        <v>7</v>
      </c>
      <c r="C47" s="106" t="s">
        <v>95</v>
      </c>
      <c r="D47" s="106"/>
      <c r="E47" s="107"/>
      <c r="F47" s="108"/>
      <c r="G47" s="109"/>
      <c r="H47" s="110">
        <f t="shared" si="5"/>
        <v>0</v>
      </c>
      <c r="I47" s="177"/>
      <c r="J47" s="118" t="str">
        <f>IF(OR(D47="",F47=""),"",(((HLOOKUP(D47,'Carrières et points'!$A$20:$AD$60,F47+2,FALSE)*'Carrières et points'!$C$7*'Carrières et points'!$C$9)+(HLOOKUP(D47,'Carrières et points'!$A$20:$AD$60,F47+2,FALSE)*'Carrières et points'!$C$13*'Carrières et points'!$C$15))*(1+'F0 - Données générales'!$I$4)+((HLOOKUP(D47,'Carrières et points'!$A$20:$AD$60,F47+2,FALSE)*'Carrières et points'!$C$7*'Carrières et points'!$C$9)+(HLOOKUP(D47,'Carrières et points'!$A$20:$AD$60,F47+2,FALSE)*'Carrières et points'!$C$13*'Carrières et points'!$C$15))/12*(1+'F0 - Données générales'!$L$13))*E47)</f>
        <v/>
      </c>
      <c r="K47" s="118" t="str">
        <f t="shared" si="6"/>
        <v/>
      </c>
      <c r="L47" s="109"/>
      <c r="M47" s="177"/>
      <c r="N47" s="118" t="str">
        <f t="shared" si="0"/>
        <v/>
      </c>
      <c r="O47" s="177"/>
      <c r="P47" s="177"/>
      <c r="Q47" s="177"/>
      <c r="R47" s="255" t="str">
        <f t="shared" si="7"/>
        <v/>
      </c>
      <c r="S47" s="120"/>
      <c r="T47" s="743"/>
      <c r="U47" s="743"/>
      <c r="V47" s="749" t="s">
        <v>165</v>
      </c>
      <c r="W47" s="749"/>
      <c r="X47" s="749"/>
      <c r="Y47" s="199">
        <f>SUM(Y38:Y46)</f>
        <v>0</v>
      </c>
      <c r="Z47" s="199">
        <f>SUM(Z38:Z46)</f>
        <v>0</v>
      </c>
      <c r="AA47" s="200">
        <f>SUM(AA38:AA46)</f>
        <v>0</v>
      </c>
      <c r="AB47" s="200">
        <f>SUM(AB38:AB46)</f>
        <v>0</v>
      </c>
      <c r="AC47" s="200">
        <f t="shared" si="26"/>
        <v>0</v>
      </c>
      <c r="AD47" s="200">
        <f>SUM(AD38:AD46)</f>
        <v>0</v>
      </c>
      <c r="AE47" s="200">
        <f>SUM(AE38:AE46)</f>
        <v>0</v>
      </c>
      <c r="AF47" s="200">
        <f>SUM(AF38:AF46)</f>
        <v>0</v>
      </c>
      <c r="AG47" s="201">
        <f t="shared" si="27"/>
        <v>0</v>
      </c>
      <c r="AH47" s="201" t="str">
        <f t="shared" si="28"/>
        <v/>
      </c>
      <c r="AI47" s="202"/>
      <c r="AJ47" s="120"/>
      <c r="AK47" s="743"/>
      <c r="AL47" s="743"/>
      <c r="AM47" s="749" t="s">
        <v>165</v>
      </c>
      <c r="AN47" s="749"/>
      <c r="AO47" s="749"/>
      <c r="AP47" s="199">
        <f>SUM(AP38:AP46)</f>
        <v>0</v>
      </c>
      <c r="AQ47" s="199">
        <f>SUM(AQ38:AQ46)</f>
        <v>0</v>
      </c>
      <c r="AR47" s="200">
        <f>SUM(AR38:AR46)</f>
        <v>0</v>
      </c>
      <c r="AS47" s="200">
        <f>SUM(AS38:AS46)</f>
        <v>0</v>
      </c>
      <c r="AT47" s="200">
        <f>(AR47+AS47)</f>
        <v>0</v>
      </c>
      <c r="AU47" s="200">
        <f>SUM(AU38:AU46)</f>
        <v>0</v>
      </c>
      <c r="AV47" s="200">
        <f>SUM(AV38:AV46)</f>
        <v>0</v>
      </c>
      <c r="AW47" s="200">
        <f>SUM(AW38:AW46)</f>
        <v>0</v>
      </c>
      <c r="AX47" s="201">
        <f>AR47+AS47-SUM(AU47:AW47)</f>
        <v>0</v>
      </c>
      <c r="AY47" s="201" t="str">
        <f t="shared" ref="AY47:AY68" si="36">IF(AP47=0,"",(AX47)/AP47)</f>
        <v/>
      </c>
      <c r="AZ47" s="202"/>
      <c r="BA47" s="120"/>
      <c r="BB47" s="760" t="s">
        <v>64</v>
      </c>
      <c r="BC47" s="761"/>
      <c r="BD47" s="13" t="s">
        <v>72</v>
      </c>
      <c r="BE47" s="758" t="s">
        <v>73</v>
      </c>
      <c r="BF47" s="759"/>
      <c r="BG47" s="45">
        <f>SUMIFS('F3 - Relevé du personnel'!$E$4:$E$281,'F3 - Relevé du personnel'!$D$4:$D$281,$BD47,'F3 - Relevé du personnel'!$C$4:$C$281,'F0 - Données générales'!$K$32)</f>
        <v>0</v>
      </c>
      <c r="BH47" s="259">
        <f>SUMIFS('F3 - Relevé du personnel'!$I$4:$I$281,'F3 - Relevé du personnel'!$D$4:$D$281,$BD47,'F3 - Relevé du personnel'!$C$4:$C$281,'F0 - Données générales'!$K$32)</f>
        <v>0</v>
      </c>
      <c r="BI47" s="259">
        <f>SUMIFS('F3 - Relevé du personnel'!$M$4:$M$281,'F3 - Relevé du personnel'!$D$4:$D$281,$BD47,'F3 - Relevé du personnel'!$C$4:$C$281,'F0 - Données générales'!$K$32)</f>
        <v>0</v>
      </c>
      <c r="BJ47" s="189">
        <f t="shared" si="33"/>
        <v>0</v>
      </c>
      <c r="BK47" s="259">
        <f>SUMIFS('F3 - Relevé du personnel'!$O$4:$O$281,'F3 - Relevé du personnel'!$D$4:$D$281,$BD47,'F3 - Relevé du personnel'!$C$4:$C$281,'F0 - Données générales'!$K$32)</f>
        <v>0</v>
      </c>
      <c r="BL47" s="259">
        <f>SUMIFS('F3 - Relevé du personnel'!$P$4:$P$281,'F3 - Relevé du personnel'!$D$4:$D$281,$BD47,'F3 - Relevé du personnel'!$C$4:$C$281,'F0 - Données générales'!$K$32)</f>
        <v>0</v>
      </c>
      <c r="BM47" s="259">
        <f>SUMIFS('F3 - Relevé du personnel'!$Q$4:$Q$281,'F3 - Relevé du personnel'!$D$4:$D$281,$BD47,'F3 - Relevé du personnel'!$C$4:$C$281,'F0 - Données générales'!$K$32)</f>
        <v>0</v>
      </c>
      <c r="BN47" s="48">
        <f t="shared" si="34"/>
        <v>0</v>
      </c>
      <c r="BO47" s="187" t="str">
        <f t="shared" si="35"/>
        <v/>
      </c>
      <c r="BP47" s="188" t="str">
        <f>IF(BG47=0,"",(SUMPRODUCT(($D$4:$D$253=BD47)*($C$4:$C$253='F0 - Données générales'!$K$32)*($E$4:$E$253)*($F$4:$F$253))+SUMPRODUCT(($D$257:$D$281=BD47)*($C$257:$C$281='F0 - Données générales'!$K$32)*($E$257:$E$281)*($F$257:$F$281)))/(SUMIFS('F3 - Relevé du personnel'!$E$4:$E$281,'F3 - Relevé du personnel'!$D$4:$D$281,$BD47,'F3 - Relevé du personnel'!$C$4:$C$281,'F0 - Données générales'!$K$32)))</f>
        <v/>
      </c>
      <c r="BQ47" s="171"/>
      <c r="BR47" s="170"/>
      <c r="BS47" s="783"/>
      <c r="BT47" s="783"/>
      <c r="BU47" s="783"/>
      <c r="BV47" s="783"/>
      <c r="BW47" s="783"/>
      <c r="BX47" s="783"/>
      <c r="BY47" s="783"/>
      <c r="BZ47" s="783"/>
      <c r="CA47" s="783"/>
      <c r="CB47" s="783"/>
    </row>
    <row r="48" spans="1:80" ht="15" customHeight="1" x14ac:dyDescent="0.3">
      <c r="A48" s="106">
        <v>45</v>
      </c>
      <c r="B48" s="324">
        <f>'F0 - Données générales'!$C$4</f>
        <v>7</v>
      </c>
      <c r="C48" s="106" t="s">
        <v>95</v>
      </c>
      <c r="D48" s="106"/>
      <c r="E48" s="107"/>
      <c r="F48" s="108"/>
      <c r="G48" s="109"/>
      <c r="H48" s="110">
        <f t="shared" si="5"/>
        <v>0</v>
      </c>
      <c r="I48" s="177"/>
      <c r="J48" s="118" t="str">
        <f>IF(OR(D48="",F48=""),"",(((HLOOKUP(D48,'Carrières et points'!$A$20:$AD$60,F48+2,FALSE)*'Carrières et points'!$C$7*'Carrières et points'!$C$9)+(HLOOKUP(D48,'Carrières et points'!$A$20:$AD$60,F48+2,FALSE)*'Carrières et points'!$C$13*'Carrières et points'!$C$15))*(1+'F0 - Données générales'!$I$4)+((HLOOKUP(D48,'Carrières et points'!$A$20:$AD$60,F48+2,FALSE)*'Carrières et points'!$C$7*'Carrières et points'!$C$9)+(HLOOKUP(D48,'Carrières et points'!$A$20:$AD$60,F48+2,FALSE)*'Carrières et points'!$C$13*'Carrières et points'!$C$15))/12*(1+'F0 - Données générales'!$L$13))*E48)</f>
        <v/>
      </c>
      <c r="K48" s="118" t="str">
        <f t="shared" si="6"/>
        <v/>
      </c>
      <c r="L48" s="109"/>
      <c r="M48" s="177"/>
      <c r="N48" s="118" t="str">
        <f t="shared" si="0"/>
        <v/>
      </c>
      <c r="O48" s="177"/>
      <c r="P48" s="177"/>
      <c r="Q48" s="177"/>
      <c r="R48" s="255" t="str">
        <f t="shared" si="7"/>
        <v/>
      </c>
      <c r="S48" s="120"/>
      <c r="T48" s="742" t="s">
        <v>61</v>
      </c>
      <c r="U48" s="742"/>
      <c r="V48" s="26" t="s">
        <v>80</v>
      </c>
      <c r="W48" s="741" t="s">
        <v>81</v>
      </c>
      <c r="X48" s="741"/>
      <c r="Y48" s="181">
        <f>SUMIFS('F3 - Relevé du personnel'!$E$4:$E$281,'F3 - Relevé du personnel'!$D$4:$D$281,$V48,'F3 - Relevé du personnel'!$C$4:$C$281,'F0 - Données générales'!$K$31,'F3 - Relevé du personnel'!$B$4:$B$281,"8.1")</f>
        <v>0</v>
      </c>
      <c r="Z48" s="181">
        <f>SUMIFS('F3 - Relevé du personnel'!$H$4:$H$281,'F3 - Relevé du personnel'!$D$4:$D$281,$V48,'F3 - Relevé du personnel'!$C$4:$C$281,'F0 - Données générales'!$K$31,'F3 - Relevé du personnel'!$B$4:$B$281,"8.1")</f>
        <v>0</v>
      </c>
      <c r="AA48" s="256">
        <f>SUMIFS('F3 - Relevé du personnel'!$I$4:$I$281,'F3 - Relevé du personnel'!$D$4:$D$281,$V48,'F3 - Relevé du personnel'!$C$4:$C$281,'F0 - Données générales'!$K$31,'F3 - Relevé du personnel'!$B$4:$B$281,"8.1")</f>
        <v>0</v>
      </c>
      <c r="AB48" s="256">
        <f>SUMIFS('F3 - Relevé du personnel'!$M$4:$M$281,'F3 - Relevé du personnel'!$D$4:$D$281,$V48,'F3 - Relevé du personnel'!$C$4:$C$281,'F0 - Données générales'!$K$31,'F3 - Relevé du personnel'!$B$4:$B$281,"8.1")</f>
        <v>0</v>
      </c>
      <c r="AC48" s="196">
        <f t="shared" si="26"/>
        <v>0</v>
      </c>
      <c r="AD48" s="256">
        <f>SUMIFS('F3 - Relevé du personnel'!$O$4:$O$281,'F3 - Relevé du personnel'!$D$4:$D$281,$V48,'F3 - Relevé du personnel'!$C$4:$C$281,'F0 - Données générales'!$K$31,'F3 - Relevé du personnel'!$B$4:$B$281,"8.1")</f>
        <v>0</v>
      </c>
      <c r="AE48" s="256">
        <f>SUMIFS('F3 - Relevé du personnel'!$P$4:$P$281,'F3 - Relevé du personnel'!$D$4:$D$281,$V48,'F3 - Relevé du personnel'!$C$4:$C$281,'F0 - Données générales'!$K$31,'F3 - Relevé du personnel'!$B$4:$B$281,"8.1")</f>
        <v>0</v>
      </c>
      <c r="AF48" s="256">
        <f>SUMIFS('F3 - Relevé du personnel'!$Q$4:$Q$281,'F3 - Relevé du personnel'!$D$4:$D$281,$V48,'F3 - Relevé du personnel'!$C$4:$C$281,'F0 - Données générales'!$K$31,'F3 - Relevé du personnel'!$B$4:$B$281,"8.1")</f>
        <v>0</v>
      </c>
      <c r="AG48" s="182">
        <f t="shared" si="27"/>
        <v>0</v>
      </c>
      <c r="AH48" s="197" t="str">
        <f t="shared" si="28"/>
        <v/>
      </c>
      <c r="AI48" s="198" t="str">
        <f>IF(Y48=0,"",(SUMPRODUCT(($D$4:$D$253=V48)*($C$4:$C$253='F0 - Données générales'!$K$31)*($E$4:$E$253)*($F$4:$F$253)*($B$4:$B$253="8.1"))+SUMPRODUCT(($D$257:$D$281=V48)*($C$257:$C$281='F0 - Données générales'!$K$31)*($B$257:$B$281="8.1")*($E$257:$E$281)*($F$257:$F$281)))/(SUMIFS('F3 - Relevé du personnel'!$E$4:$E$281,'F3 - Relevé du personnel'!$D$4:$D$281,$V48,'F3 - Relevé du personnel'!$C$4:$C$281,'F0 - Données générales'!$K$31,'F3 - Relevé du personnel'!$B$4:$B$281,"8.1")))</f>
        <v/>
      </c>
      <c r="AJ48" s="120"/>
      <c r="AK48" s="742" t="s">
        <v>61</v>
      </c>
      <c r="AL48" s="742"/>
      <c r="AM48" s="26" t="s">
        <v>80</v>
      </c>
      <c r="AN48" s="741" t="s">
        <v>81</v>
      </c>
      <c r="AO48" s="741"/>
      <c r="AP48" s="181">
        <f>SUMIFS('F3 - Relevé du personnel'!$E$4:$E$281,'F3 - Relevé du personnel'!$D$4:$D$281,$AM48,'F3 - Relevé du personnel'!$C$4:$C$281,'F0 - Données générales'!$K$31,'F3 - Relevé du personnel'!$B$4:$B$281,"psycho")</f>
        <v>0</v>
      </c>
      <c r="AQ48" s="181">
        <f>SUMIFS('F3 - Relevé du personnel'!$H$4:$H$281,'F3 - Relevé du personnel'!$D$4:$D$281,$AM48,'F3 - Relevé du personnel'!$C$4:$C$281,'F0 - Données générales'!$K$31,'F3 - Relevé du personnel'!$B$4:$B$281,"psycho")</f>
        <v>0</v>
      </c>
      <c r="AR48" s="256">
        <f>SUMIFS('F3 - Relevé du personnel'!$I$4:$I$281,'F3 - Relevé du personnel'!$D$4:$D$281,$AM48,'F3 - Relevé du personnel'!$C$4:$C$281,'F0 - Données générales'!$K$31,'F3 - Relevé du personnel'!$B$4:$B$281,"psycho")</f>
        <v>0</v>
      </c>
      <c r="AS48" s="256">
        <f>SUMIFS('F3 - Relevé du personnel'!$M$4:$M$281,'F3 - Relevé du personnel'!$D$4:$D$281,$AM48,'F3 - Relevé du personnel'!$C$4:$C$281,'F0 - Données générales'!$K$31,'F3 - Relevé du personnel'!$B$4:$B$281,"psycho")</f>
        <v>0</v>
      </c>
      <c r="AT48" s="196">
        <f t="shared" ref="AT48:AT53" si="37">(AR48+AS48)</f>
        <v>0</v>
      </c>
      <c r="AU48" s="256">
        <f>SUMIFS('F3 - Relevé du personnel'!$O$4:$O$281,'F3 - Relevé du personnel'!$D$4:$D$281,$AM48,'F3 - Relevé du personnel'!$C$4:$C$281,'F0 - Données générales'!$K$31,'F3 - Relevé du personnel'!$B$4:$B$281,"psycho")</f>
        <v>0</v>
      </c>
      <c r="AV48" s="256">
        <f>SUMIFS('F3 - Relevé du personnel'!$P$4:$P$281,'F3 - Relevé du personnel'!$D$4:$D$281,$AM48,'F3 - Relevé du personnel'!$C$4:$C$281,'F0 - Données générales'!$K$31,'F3 - Relevé du personnel'!$B$4:$B$281,"psycho")</f>
        <v>0</v>
      </c>
      <c r="AW48" s="256">
        <f>SUMIFS('F3 - Relevé du personnel'!$Q$4:$Q$281,'F3 - Relevé du personnel'!$D$4:$D$281,$AM48,'F3 - Relevé du personnel'!$C$4:$C$281,'F0 - Données générales'!$K$31,'F3 - Relevé du personnel'!$B$4:$B$281,"psycho")</f>
        <v>0</v>
      </c>
      <c r="AX48" s="182">
        <f t="shared" ref="AX48:AX53" si="38">AR48+AS48-SUM(AU48:AW48)</f>
        <v>0</v>
      </c>
      <c r="AY48" s="197" t="str">
        <f t="shared" si="36"/>
        <v/>
      </c>
      <c r="AZ48" s="198" t="str">
        <f>IF(AP48=0,"",(SUMPRODUCT(($D$4:$D$253=AM48)*($C$4:$C$253='F0 - Données générales'!$K$31)*($E$4:$E$253)*($F$4:$F$253)*($B$4:$B$253="psycho"))+SUMPRODUCT(($D$257:$D$281=AM48)*($C$257:$C$281='F0 - Données générales'!$K$31)*($B$257:$B$281="psycho")*($E$257:$E$281)*($F$257:$F$281)))/(SUMIFS('F3 - Relevé du personnel'!$E$4:$E$281,'F3 - Relevé du personnel'!$D$4:$D$281,$AM48,'F3 - Relevé du personnel'!$C$4:$C$281,'F0 - Données générales'!$K$31,'F3 - Relevé du personnel'!$B$4:$B$281,"psycho")))</f>
        <v/>
      </c>
      <c r="BA48" s="120"/>
      <c r="BB48" s="760" t="s">
        <v>65</v>
      </c>
      <c r="BC48" s="761"/>
      <c r="BD48" s="13" t="s">
        <v>74</v>
      </c>
      <c r="BE48" s="758" t="s">
        <v>75</v>
      </c>
      <c r="BF48" s="759"/>
      <c r="BG48" s="45">
        <f>SUMIFS('F3 - Relevé du personnel'!$E$4:$E$281,'F3 - Relevé du personnel'!$D$4:$D$281,$BD48,'F3 - Relevé du personnel'!$C$4:$C$281,'F0 - Données générales'!$K$32)</f>
        <v>0</v>
      </c>
      <c r="BH48" s="259">
        <f>SUMIFS('F3 - Relevé du personnel'!$I$4:$I$281,'F3 - Relevé du personnel'!$D$4:$D$281,$BD48,'F3 - Relevé du personnel'!$C$4:$C$281,'F0 - Données générales'!$K$32)</f>
        <v>0</v>
      </c>
      <c r="BI48" s="259">
        <f>SUMIFS('F3 - Relevé du personnel'!$M$4:$M$281,'F3 - Relevé du personnel'!$D$4:$D$281,$BD48,'F3 - Relevé du personnel'!$C$4:$C$281,'F0 - Données générales'!$K$32)</f>
        <v>0</v>
      </c>
      <c r="BJ48" s="189">
        <f t="shared" si="33"/>
        <v>0</v>
      </c>
      <c r="BK48" s="259">
        <f>SUMIFS('F3 - Relevé du personnel'!$O$4:$O$281,'F3 - Relevé du personnel'!$D$4:$D$281,$BD48,'F3 - Relevé du personnel'!$C$4:$C$281,'F0 - Données générales'!$K$32)</f>
        <v>0</v>
      </c>
      <c r="BL48" s="259">
        <f>SUMIFS('F3 - Relevé du personnel'!$P$4:$P$281,'F3 - Relevé du personnel'!$D$4:$D$281,$BD48,'F3 - Relevé du personnel'!$C$4:$C$281,'F0 - Données générales'!$K$32)</f>
        <v>0</v>
      </c>
      <c r="BM48" s="259">
        <f>SUMIFS('F3 - Relevé du personnel'!$Q$4:$Q$281,'F3 - Relevé du personnel'!$D$4:$D$281,$BD48,'F3 - Relevé du personnel'!$C$4:$C$281,'F0 - Données générales'!$K$32)</f>
        <v>0</v>
      </c>
      <c r="BN48" s="48">
        <f t="shared" si="34"/>
        <v>0</v>
      </c>
      <c r="BO48" s="187" t="str">
        <f t="shared" si="35"/>
        <v/>
      </c>
      <c r="BP48" s="188" t="str">
        <f>IF(BG48=0,"",(SUMPRODUCT(($D$4:$D$253=BD48)*($C$4:$C$253='F0 - Données générales'!$K$32)*($E$4:$E$253)*($F$4:$F$253))+SUMPRODUCT(($D$257:$D$281=BD48)*($C$257:$C$281='F0 - Données générales'!$K$32)*($E$257:$E$281)*($F$257:$F$281)))/(SUMIFS('F3 - Relevé du personnel'!$E$4:$E$281,'F3 - Relevé du personnel'!$D$4:$D$281,$BD48,'F3 - Relevé du personnel'!$C$4:$C$281,'F0 - Données générales'!$K$32)))</f>
        <v/>
      </c>
      <c r="BQ48" s="171"/>
      <c r="BR48" s="170"/>
      <c r="BS48" s="783"/>
      <c r="BT48" s="783"/>
      <c r="BU48" s="783"/>
      <c r="BV48" s="783"/>
      <c r="BW48" s="783"/>
      <c r="BX48" s="783"/>
      <c r="BY48" s="783"/>
      <c r="BZ48" s="783"/>
      <c r="CA48" s="783"/>
      <c r="CB48" s="783"/>
    </row>
    <row r="49" spans="1:80" ht="15" customHeight="1" x14ac:dyDescent="0.3">
      <c r="A49" s="106">
        <v>46</v>
      </c>
      <c r="B49" s="324">
        <f>'F0 - Données générales'!$C$4</f>
        <v>7</v>
      </c>
      <c r="C49" s="106" t="s">
        <v>95</v>
      </c>
      <c r="D49" s="106"/>
      <c r="E49" s="107"/>
      <c r="F49" s="108"/>
      <c r="G49" s="109"/>
      <c r="H49" s="110">
        <f t="shared" si="5"/>
        <v>0</v>
      </c>
      <c r="I49" s="177"/>
      <c r="J49" s="118" t="str">
        <f>IF(OR(D49="",F49=""),"",(((HLOOKUP(D49,'Carrières et points'!$A$20:$AD$60,F49+2,FALSE)*'Carrières et points'!$C$7*'Carrières et points'!$C$9)+(HLOOKUP(D49,'Carrières et points'!$A$20:$AD$60,F49+2,FALSE)*'Carrières et points'!$C$13*'Carrières et points'!$C$15))*(1+'F0 - Données générales'!$I$4)+((HLOOKUP(D49,'Carrières et points'!$A$20:$AD$60,F49+2,FALSE)*'Carrières et points'!$C$7*'Carrières et points'!$C$9)+(HLOOKUP(D49,'Carrières et points'!$A$20:$AD$60,F49+2,FALSE)*'Carrières et points'!$C$13*'Carrières et points'!$C$15))/12*(1+'F0 - Données générales'!$L$13))*E49)</f>
        <v/>
      </c>
      <c r="K49" s="118" t="str">
        <f t="shared" si="6"/>
        <v/>
      </c>
      <c r="L49" s="109"/>
      <c r="M49" s="177"/>
      <c r="N49" s="118" t="str">
        <f t="shared" si="0"/>
        <v/>
      </c>
      <c r="O49" s="177"/>
      <c r="P49" s="177"/>
      <c r="Q49" s="177"/>
      <c r="R49" s="255" t="str">
        <f t="shared" si="7"/>
        <v/>
      </c>
      <c r="S49" s="120"/>
      <c r="T49" s="742" t="s">
        <v>64</v>
      </c>
      <c r="U49" s="742"/>
      <c r="V49" s="26" t="s">
        <v>82</v>
      </c>
      <c r="W49" s="741" t="s">
        <v>83</v>
      </c>
      <c r="X49" s="741"/>
      <c r="Y49" s="181">
        <f>SUMIFS('F3 - Relevé du personnel'!$E$4:$E$281,'F3 - Relevé du personnel'!$D$4:$D$281,$V49,'F3 - Relevé du personnel'!$C$4:$C$281,'F0 - Données générales'!$K$31,'F3 - Relevé du personnel'!$B$4:$B$281,"8.1")</f>
        <v>0</v>
      </c>
      <c r="Z49" s="181">
        <f>SUMIFS('F3 - Relevé du personnel'!$H$4:$H$281,'F3 - Relevé du personnel'!$D$4:$D$281,$V49,'F3 - Relevé du personnel'!$C$4:$C$281,'F0 - Données générales'!$K$31,'F3 - Relevé du personnel'!$B$4:$B$281,"8.1")</f>
        <v>0</v>
      </c>
      <c r="AA49" s="256">
        <f>SUMIFS('F3 - Relevé du personnel'!$I$4:$I$281,'F3 - Relevé du personnel'!$D$4:$D$281,$V49,'F3 - Relevé du personnel'!$C$4:$C$281,'F0 - Données générales'!$K$31,'F3 - Relevé du personnel'!$B$4:$B$281,"8.1")</f>
        <v>0</v>
      </c>
      <c r="AB49" s="256">
        <f>SUMIFS('F3 - Relevé du personnel'!$M$4:$M$281,'F3 - Relevé du personnel'!$D$4:$D$281,$V49,'F3 - Relevé du personnel'!$C$4:$C$281,'F0 - Données générales'!$K$31,'F3 - Relevé du personnel'!$B$4:$B$281,"8.1")</f>
        <v>0</v>
      </c>
      <c r="AC49" s="196">
        <f t="shared" si="26"/>
        <v>0</v>
      </c>
      <c r="AD49" s="256">
        <f>SUMIFS('F3 - Relevé du personnel'!$O$4:$O$281,'F3 - Relevé du personnel'!$D$4:$D$281,$V49,'F3 - Relevé du personnel'!$C$4:$C$281,'F0 - Données générales'!$K$31,'F3 - Relevé du personnel'!$B$4:$B$281,"8.1")</f>
        <v>0</v>
      </c>
      <c r="AE49" s="256">
        <f>SUMIFS('F3 - Relevé du personnel'!$P$4:$P$281,'F3 - Relevé du personnel'!$D$4:$D$281,$V49,'F3 - Relevé du personnel'!$C$4:$C$281,'F0 - Données générales'!$K$31,'F3 - Relevé du personnel'!$B$4:$B$281,"8.1")</f>
        <v>0</v>
      </c>
      <c r="AF49" s="256">
        <f>SUMIFS('F3 - Relevé du personnel'!$Q$4:$Q$281,'F3 - Relevé du personnel'!$D$4:$D$281,$V49,'F3 - Relevé du personnel'!$C$4:$C$281,'F0 - Données générales'!$K$31,'F3 - Relevé du personnel'!$B$4:$B$281,"8.1")</f>
        <v>0</v>
      </c>
      <c r="AG49" s="182">
        <f t="shared" si="27"/>
        <v>0</v>
      </c>
      <c r="AH49" s="197" t="str">
        <f t="shared" si="28"/>
        <v/>
      </c>
      <c r="AI49" s="198" t="str">
        <f>IF(Y49=0,"",(SUMPRODUCT(($D$4:$D$253=V49)*($C$4:$C$253='F0 - Données générales'!$K$31)*($E$4:$E$253)*($F$4:$F$253)*($B$4:$B$253="8.1"))+SUMPRODUCT(($D$257:$D$281=V49)*($C$257:$C$281='F0 - Données générales'!$K$31)*($B$257:$B$281="8.1")*($E$257:$E$281)*($F$257:$F$281)))/(SUMIFS('F3 - Relevé du personnel'!$E$4:$E$281,'F3 - Relevé du personnel'!$D$4:$D$281,$V49,'F3 - Relevé du personnel'!$C$4:$C$281,'F0 - Données générales'!$K$31,'F3 - Relevé du personnel'!$B$4:$B$281,"8.1")))</f>
        <v/>
      </c>
      <c r="AJ49" s="120"/>
      <c r="AK49" s="742" t="s">
        <v>64</v>
      </c>
      <c r="AL49" s="742"/>
      <c r="AM49" s="26" t="s">
        <v>82</v>
      </c>
      <c r="AN49" s="741" t="s">
        <v>83</v>
      </c>
      <c r="AO49" s="741"/>
      <c r="AP49" s="181">
        <f>SUMIFS('F3 - Relevé du personnel'!$E$4:$E$281,'F3 - Relevé du personnel'!$D$4:$D$281,$AM49,'F3 - Relevé du personnel'!$C$4:$C$281,'F0 - Données générales'!$K$31,'F3 - Relevé du personnel'!$B$4:$B$281,"psycho")</f>
        <v>0</v>
      </c>
      <c r="AQ49" s="181">
        <f>SUMIFS('F3 - Relevé du personnel'!$H$4:$H$281,'F3 - Relevé du personnel'!$D$4:$D$281,$AM49,'F3 - Relevé du personnel'!$C$4:$C$281,'F0 - Données générales'!$K$31,'F3 - Relevé du personnel'!$B$4:$B$281,"psycho")</f>
        <v>0</v>
      </c>
      <c r="AR49" s="256">
        <f>SUMIFS('F3 - Relevé du personnel'!$I$4:$I$281,'F3 - Relevé du personnel'!$D$4:$D$281,$AM49,'F3 - Relevé du personnel'!$C$4:$C$281,'F0 - Données générales'!$K$31,'F3 - Relevé du personnel'!$B$4:$B$281,"psycho")</f>
        <v>0</v>
      </c>
      <c r="AS49" s="256">
        <f>SUMIFS('F3 - Relevé du personnel'!$M$4:$M$281,'F3 - Relevé du personnel'!$D$4:$D$281,$AM49,'F3 - Relevé du personnel'!$C$4:$C$281,'F0 - Données générales'!$K$31,'F3 - Relevé du personnel'!$B$4:$B$281,"psycho")</f>
        <v>0</v>
      </c>
      <c r="AT49" s="196">
        <f t="shared" si="37"/>
        <v>0</v>
      </c>
      <c r="AU49" s="256">
        <f>SUMIFS('F3 - Relevé du personnel'!$O$4:$O$281,'F3 - Relevé du personnel'!$D$4:$D$281,$AM49,'F3 - Relevé du personnel'!$C$4:$C$281,'F0 - Données générales'!$K$31,'F3 - Relevé du personnel'!$B$4:$B$281,"psycho")</f>
        <v>0</v>
      </c>
      <c r="AV49" s="256">
        <f>SUMIFS('F3 - Relevé du personnel'!$P$4:$P$281,'F3 - Relevé du personnel'!$D$4:$D$281,$AM49,'F3 - Relevé du personnel'!$C$4:$C$281,'F0 - Données générales'!$K$31,'F3 - Relevé du personnel'!$B$4:$B$281,"psycho")</f>
        <v>0</v>
      </c>
      <c r="AW49" s="256">
        <f>SUMIFS('F3 - Relevé du personnel'!$Q$4:$Q$281,'F3 - Relevé du personnel'!$D$4:$D$281,$AM49,'F3 - Relevé du personnel'!$C$4:$C$281,'F0 - Données générales'!$K$31,'F3 - Relevé du personnel'!$B$4:$B$281,"psycho")</f>
        <v>0</v>
      </c>
      <c r="AX49" s="182">
        <f t="shared" si="38"/>
        <v>0</v>
      </c>
      <c r="AY49" s="197" t="str">
        <f t="shared" si="36"/>
        <v/>
      </c>
      <c r="AZ49" s="198" t="str">
        <f>IF(AP49=0,"",(SUMPRODUCT(($D$4:$D$253=AM49)*($C$4:$C$253='F0 - Données générales'!$K$31)*($E$4:$E$253)*($F$4:$F$253)*($B$4:$B$253="psycho"))+SUMPRODUCT(($D$257:$D$281=AM49)*($C$257:$C$281='F0 - Données générales'!$K$31)*($B$257:$B$281="psycho")*($E$257:$E$281)*($F$257:$F$281)))/(SUMIFS('F3 - Relevé du personnel'!$E$4:$E$281,'F3 - Relevé du personnel'!$D$4:$D$281,$AM49,'F3 - Relevé du personnel'!$C$4:$C$281,'F0 - Données générales'!$K$31,'F3 - Relevé du personnel'!$B$4:$B$281,"psycho")))</f>
        <v/>
      </c>
      <c r="BA49" s="120"/>
      <c r="BB49" s="760" t="s">
        <v>65</v>
      </c>
      <c r="BC49" s="761"/>
      <c r="BD49" s="13" t="s">
        <v>76</v>
      </c>
      <c r="BE49" s="758" t="s">
        <v>77</v>
      </c>
      <c r="BF49" s="759"/>
      <c r="BG49" s="45">
        <f>SUMIFS('F3 - Relevé du personnel'!$E$4:$E$281,'F3 - Relevé du personnel'!$D$4:$D$281,$BD49,'F3 - Relevé du personnel'!$C$4:$C$281,'F0 - Données générales'!$K$32)</f>
        <v>0</v>
      </c>
      <c r="BH49" s="259">
        <f>SUMIFS('F3 - Relevé du personnel'!$I$4:$I$281,'F3 - Relevé du personnel'!$D$4:$D$281,$BD49,'F3 - Relevé du personnel'!$C$4:$C$281,'F0 - Données générales'!$K$32)</f>
        <v>0</v>
      </c>
      <c r="BI49" s="259">
        <f>SUMIFS('F3 - Relevé du personnel'!$M$4:$M$281,'F3 - Relevé du personnel'!$D$4:$D$281,$BD49,'F3 - Relevé du personnel'!$C$4:$C$281,'F0 - Données générales'!$K$32)</f>
        <v>0</v>
      </c>
      <c r="BJ49" s="189">
        <f t="shared" si="33"/>
        <v>0</v>
      </c>
      <c r="BK49" s="259">
        <f>SUMIFS('F3 - Relevé du personnel'!$O$4:$O$281,'F3 - Relevé du personnel'!$D$4:$D$281,$BD49,'F3 - Relevé du personnel'!$C$4:$C$281,'F0 - Données générales'!$K$32)</f>
        <v>0</v>
      </c>
      <c r="BL49" s="259">
        <f>SUMIFS('F3 - Relevé du personnel'!$P$4:$P$281,'F3 - Relevé du personnel'!$D$4:$D$281,$BD49,'F3 - Relevé du personnel'!$C$4:$C$281,'F0 - Données générales'!$K$32)</f>
        <v>0</v>
      </c>
      <c r="BM49" s="259">
        <f>SUMIFS('F3 - Relevé du personnel'!$Q$4:$Q$281,'F3 - Relevé du personnel'!$D$4:$D$281,$BD49,'F3 - Relevé du personnel'!$C$4:$C$281,'F0 - Données générales'!$K$32)</f>
        <v>0</v>
      </c>
      <c r="BN49" s="48">
        <f t="shared" si="34"/>
        <v>0</v>
      </c>
      <c r="BO49" s="187" t="str">
        <f t="shared" si="35"/>
        <v/>
      </c>
      <c r="BP49" s="188" t="str">
        <f>IF(BG49=0,"",(SUMPRODUCT(($D$4:$D$253=BD49)*($C$4:$C$253='F0 - Données générales'!$K$32)*($E$4:$E$253)*($F$4:$F$253))+SUMPRODUCT(($D$257:$D$281=BD49)*($C$257:$C$281='F0 - Données générales'!$K$32)*($E$257:$E$281)*($F$257:$F$281)))/(SUMIFS('F3 - Relevé du personnel'!$E$4:$E$281,'F3 - Relevé du personnel'!$D$4:$D$281,$BD49,'F3 - Relevé du personnel'!$C$4:$C$281,'F0 - Données générales'!$K$32)))</f>
        <v/>
      </c>
      <c r="BQ49" s="171"/>
      <c r="BR49" s="170"/>
      <c r="BS49" s="783"/>
      <c r="BT49" s="783"/>
      <c r="BU49" s="783"/>
      <c r="BV49" s="783"/>
      <c r="BW49" s="783"/>
      <c r="BX49" s="783"/>
      <c r="BY49" s="783"/>
      <c r="BZ49" s="783"/>
      <c r="CA49" s="783"/>
      <c r="CB49" s="783"/>
    </row>
    <row r="50" spans="1:80" ht="15" customHeight="1" x14ac:dyDescent="0.3">
      <c r="A50" s="106">
        <v>47</v>
      </c>
      <c r="B50" s="324">
        <f>'F0 - Données générales'!$C$4</f>
        <v>7</v>
      </c>
      <c r="C50" s="106" t="s">
        <v>95</v>
      </c>
      <c r="D50" s="106"/>
      <c r="E50" s="107"/>
      <c r="F50" s="108"/>
      <c r="G50" s="109"/>
      <c r="H50" s="110">
        <f t="shared" si="5"/>
        <v>0</v>
      </c>
      <c r="I50" s="177"/>
      <c r="J50" s="118" t="str">
        <f>IF(OR(D50="",F50=""),"",(((HLOOKUP(D50,'Carrières et points'!$A$20:$AD$60,F50+2,FALSE)*'Carrières et points'!$C$7*'Carrières et points'!$C$9)+(HLOOKUP(D50,'Carrières et points'!$A$20:$AD$60,F50+2,FALSE)*'Carrières et points'!$C$13*'Carrières et points'!$C$15))*(1+'F0 - Données générales'!$I$4)+((HLOOKUP(D50,'Carrières et points'!$A$20:$AD$60,F50+2,FALSE)*'Carrières et points'!$C$7*'Carrières et points'!$C$9)+(HLOOKUP(D50,'Carrières et points'!$A$20:$AD$60,F50+2,FALSE)*'Carrières et points'!$C$13*'Carrières et points'!$C$15))/12*(1+'F0 - Données générales'!$L$13))*E50)</f>
        <v/>
      </c>
      <c r="K50" s="118" t="str">
        <f t="shared" si="6"/>
        <v/>
      </c>
      <c r="L50" s="109"/>
      <c r="M50" s="177"/>
      <c r="N50" s="118" t="str">
        <f t="shared" si="0"/>
        <v/>
      </c>
      <c r="O50" s="177"/>
      <c r="P50" s="177"/>
      <c r="Q50" s="177"/>
      <c r="R50" s="255" t="str">
        <f t="shared" si="7"/>
        <v/>
      </c>
      <c r="S50" s="120"/>
      <c r="T50" s="742" t="s">
        <v>65</v>
      </c>
      <c r="U50" s="742"/>
      <c r="V50" s="26" t="s">
        <v>84</v>
      </c>
      <c r="W50" s="741" t="s">
        <v>85</v>
      </c>
      <c r="X50" s="741"/>
      <c r="Y50" s="181">
        <f>SUMIFS('F3 - Relevé du personnel'!$E$4:$E$281,'F3 - Relevé du personnel'!$D$4:$D$281,$V50,'F3 - Relevé du personnel'!$C$4:$C$281,'F0 - Données générales'!$K$31,'F3 - Relevé du personnel'!$B$4:$B$281,"8.1")</f>
        <v>0</v>
      </c>
      <c r="Z50" s="181">
        <f>SUMIFS('F3 - Relevé du personnel'!$H$4:$H$281,'F3 - Relevé du personnel'!$D$4:$D$281,$V50,'F3 - Relevé du personnel'!$C$4:$C$281,'F0 - Données générales'!$K$31,'F3 - Relevé du personnel'!$B$4:$B$281,"8.1")</f>
        <v>0</v>
      </c>
      <c r="AA50" s="256">
        <f>SUMIFS('F3 - Relevé du personnel'!$I$4:$I$281,'F3 - Relevé du personnel'!$D$4:$D$281,$V50,'F3 - Relevé du personnel'!$C$4:$C$281,'F0 - Données générales'!$K$31,'F3 - Relevé du personnel'!$B$4:$B$281,"8.1")</f>
        <v>0</v>
      </c>
      <c r="AB50" s="256">
        <f>SUMIFS('F3 - Relevé du personnel'!$M$4:$M$281,'F3 - Relevé du personnel'!$D$4:$D$281,$V50,'F3 - Relevé du personnel'!$C$4:$C$281,'F0 - Données générales'!$K$31,'F3 - Relevé du personnel'!$B$4:$B$281,"8.1")</f>
        <v>0</v>
      </c>
      <c r="AC50" s="196">
        <f t="shared" si="26"/>
        <v>0</v>
      </c>
      <c r="AD50" s="256">
        <f>SUMIFS('F3 - Relevé du personnel'!$O$4:$O$281,'F3 - Relevé du personnel'!$D$4:$D$281,$V50,'F3 - Relevé du personnel'!$C$4:$C$281,'F0 - Données générales'!$K$31,'F3 - Relevé du personnel'!$B$4:$B$281,"8.1")</f>
        <v>0</v>
      </c>
      <c r="AE50" s="256">
        <f>SUMIFS('F3 - Relevé du personnel'!$P$4:$P$281,'F3 - Relevé du personnel'!$D$4:$D$281,$V50,'F3 - Relevé du personnel'!$C$4:$C$281,'F0 - Données générales'!$K$31,'F3 - Relevé du personnel'!$B$4:$B$281,"8.1")</f>
        <v>0</v>
      </c>
      <c r="AF50" s="256">
        <f>SUMIFS('F3 - Relevé du personnel'!$Q$4:$Q$281,'F3 - Relevé du personnel'!$D$4:$D$281,$V50,'F3 - Relevé du personnel'!$C$4:$C$281,'F0 - Données générales'!$K$31,'F3 - Relevé du personnel'!$B$4:$B$281,"8.1")</f>
        <v>0</v>
      </c>
      <c r="AG50" s="182">
        <f t="shared" si="27"/>
        <v>0</v>
      </c>
      <c r="AH50" s="197" t="str">
        <f t="shared" si="28"/>
        <v/>
      </c>
      <c r="AI50" s="198" t="str">
        <f>IF(Y50=0,"",(SUMPRODUCT(($D$4:$D$253=V50)*($C$4:$C$253='F0 - Données générales'!$K$31)*($E$4:$E$253)*($F$4:$F$253)*($B$4:$B$253="8.1"))+SUMPRODUCT(($D$257:$D$281=V50)*($C$257:$C$281='F0 - Données générales'!$K$31)*($B$257:$B$281="8.1")*($E$257:$E$281)*($F$257:$F$281)))/(SUMIFS('F3 - Relevé du personnel'!$E$4:$E$281,'F3 - Relevé du personnel'!$D$4:$D$281,$V50,'F3 - Relevé du personnel'!$C$4:$C$281,'F0 - Données générales'!$K$31,'F3 - Relevé du personnel'!$B$4:$B$281,"8.1")))</f>
        <v/>
      </c>
      <c r="AJ50" s="120"/>
      <c r="AK50" s="742" t="s">
        <v>65</v>
      </c>
      <c r="AL50" s="742"/>
      <c r="AM50" s="26" t="s">
        <v>84</v>
      </c>
      <c r="AN50" s="741" t="s">
        <v>85</v>
      </c>
      <c r="AO50" s="741"/>
      <c r="AP50" s="181">
        <f>SUMIFS('F3 - Relevé du personnel'!$E$4:$E$281,'F3 - Relevé du personnel'!$D$4:$D$281,$AM50,'F3 - Relevé du personnel'!$C$4:$C$281,'F0 - Données générales'!$K$31,'F3 - Relevé du personnel'!$B$4:$B$281,"psycho")</f>
        <v>0</v>
      </c>
      <c r="AQ50" s="181">
        <f>SUMIFS('F3 - Relevé du personnel'!$H$4:$H$281,'F3 - Relevé du personnel'!$D$4:$D$281,$AM50,'F3 - Relevé du personnel'!$C$4:$C$281,'F0 - Données générales'!$K$31,'F3 - Relevé du personnel'!$B$4:$B$281,"psycho")</f>
        <v>0</v>
      </c>
      <c r="AR50" s="256">
        <f>SUMIFS('F3 - Relevé du personnel'!$I$4:$I$281,'F3 - Relevé du personnel'!$D$4:$D$281,$AM50,'F3 - Relevé du personnel'!$C$4:$C$281,'F0 - Données générales'!$K$31,'F3 - Relevé du personnel'!$B$4:$B$281,"psycho")</f>
        <v>0</v>
      </c>
      <c r="AS50" s="256">
        <f>SUMIFS('F3 - Relevé du personnel'!$M$4:$M$281,'F3 - Relevé du personnel'!$D$4:$D$281,$AM50,'F3 - Relevé du personnel'!$C$4:$C$281,'F0 - Données générales'!$K$31,'F3 - Relevé du personnel'!$B$4:$B$281,"psycho")</f>
        <v>0</v>
      </c>
      <c r="AT50" s="196">
        <f t="shared" si="37"/>
        <v>0</v>
      </c>
      <c r="AU50" s="256">
        <f>SUMIFS('F3 - Relevé du personnel'!$O$4:$O$281,'F3 - Relevé du personnel'!$D$4:$D$281,$AM50,'F3 - Relevé du personnel'!$C$4:$C$281,'F0 - Données générales'!$K$31,'F3 - Relevé du personnel'!$B$4:$B$281,"psycho")</f>
        <v>0</v>
      </c>
      <c r="AV50" s="256">
        <f>SUMIFS('F3 - Relevé du personnel'!$P$4:$P$281,'F3 - Relevé du personnel'!$D$4:$D$281,$AM50,'F3 - Relevé du personnel'!$C$4:$C$281,'F0 - Données générales'!$K$31,'F3 - Relevé du personnel'!$B$4:$B$281,"psycho")</f>
        <v>0</v>
      </c>
      <c r="AW50" s="256">
        <f>SUMIFS('F3 - Relevé du personnel'!$Q$4:$Q$281,'F3 - Relevé du personnel'!$D$4:$D$281,$AM50,'F3 - Relevé du personnel'!$C$4:$C$281,'F0 - Données générales'!$K$31,'F3 - Relevé du personnel'!$B$4:$B$281,"psycho")</f>
        <v>0</v>
      </c>
      <c r="AX50" s="182">
        <f t="shared" si="38"/>
        <v>0</v>
      </c>
      <c r="AY50" s="197" t="str">
        <f t="shared" si="36"/>
        <v/>
      </c>
      <c r="AZ50" s="198" t="str">
        <f>IF(AP50=0,"",(SUMPRODUCT(($D$4:$D$253=AM50)*($C$4:$C$253='F0 - Données générales'!$K$31)*($E$4:$E$253)*($F$4:$F$253)*($B$4:$B$253="psycho"))+SUMPRODUCT(($D$257:$D$281=AM50)*($C$257:$C$281='F0 - Données générales'!$K$31)*($B$257:$B$281="psycho")*($E$257:$E$281)*($F$257:$F$281)))/(SUMIFS('F3 - Relevé du personnel'!$E$4:$E$281,'F3 - Relevé du personnel'!$D$4:$D$281,$AM50,'F3 - Relevé du personnel'!$C$4:$C$281,'F0 - Données générales'!$K$31,'F3 - Relevé du personnel'!$B$4:$B$281,"psycho")))</f>
        <v/>
      </c>
      <c r="BA50" s="120"/>
      <c r="BB50" s="760" t="s">
        <v>65</v>
      </c>
      <c r="BC50" s="761"/>
      <c r="BD50" s="13" t="s">
        <v>252</v>
      </c>
      <c r="BE50" s="758" t="s">
        <v>78</v>
      </c>
      <c r="BF50" s="759"/>
      <c r="BG50" s="45">
        <f>SUMIFS('F3 - Relevé du personnel'!$E$4:$E$281,'F3 - Relevé du personnel'!$D$4:$D$281,$BD50,'F3 - Relevé du personnel'!$C$4:$C$281,'F0 - Données générales'!$K$32)</f>
        <v>0</v>
      </c>
      <c r="BH50" s="259">
        <f>SUMIFS('F3 - Relevé du personnel'!$I$4:$I$281,'F3 - Relevé du personnel'!$D$4:$D$281,$BD50,'F3 - Relevé du personnel'!$C$4:$C$281,'F0 - Données générales'!$K$32)</f>
        <v>0</v>
      </c>
      <c r="BI50" s="259">
        <f>SUMIFS('F3 - Relevé du personnel'!$M$4:$M$281,'F3 - Relevé du personnel'!$D$4:$D$281,$BD50,'F3 - Relevé du personnel'!$C$4:$C$281,'F0 - Données générales'!$K$32)</f>
        <v>0</v>
      </c>
      <c r="BJ50" s="189">
        <f t="shared" si="33"/>
        <v>0</v>
      </c>
      <c r="BK50" s="259">
        <f>SUMIFS('F3 - Relevé du personnel'!$O$4:$O$281,'F3 - Relevé du personnel'!$D$4:$D$281,$BD50,'F3 - Relevé du personnel'!$C$4:$C$281,'F0 - Données générales'!$K$32)</f>
        <v>0</v>
      </c>
      <c r="BL50" s="259">
        <f>SUMIFS('F3 - Relevé du personnel'!$P$4:$P$281,'F3 - Relevé du personnel'!$D$4:$D$281,$BD50,'F3 - Relevé du personnel'!$C$4:$C$281,'F0 - Données générales'!$K$32)</f>
        <v>0</v>
      </c>
      <c r="BM50" s="259">
        <f>SUMIFS('F3 - Relevé du personnel'!$Q$4:$Q$281,'F3 - Relevé du personnel'!$D$4:$D$281,$BD50,'F3 - Relevé du personnel'!$C$4:$C$281,'F0 - Données générales'!$K$32)</f>
        <v>0</v>
      </c>
      <c r="BN50" s="48">
        <f t="shared" si="34"/>
        <v>0</v>
      </c>
      <c r="BO50" s="187" t="str">
        <f t="shared" si="35"/>
        <v/>
      </c>
      <c r="BP50" s="188" t="str">
        <f>IF(BG50=0,"",(SUMPRODUCT(($D$4:$D$253=BD50)*($C$4:$C$253='F0 - Données générales'!$K$32)*($E$4:$E$253)*($F$4:$F$253))+SUMPRODUCT(($D$257:$D$281=BD50)*($C$257:$C$281='F0 - Données générales'!$K$32)*($E$257:$E$281)*($F$257:$F$281)))/(SUMIFS('F3 - Relevé du personnel'!$E$4:$E$281,'F3 - Relevé du personnel'!$D$4:$D$281,$BD50,'F3 - Relevé du personnel'!$C$4:$C$281,'F0 - Données générales'!$K$32)))</f>
        <v/>
      </c>
      <c r="BQ50" s="171"/>
      <c r="BR50" s="170"/>
      <c r="BS50" s="257">
        <f t="shared" ref="BS50:BZ50" si="39">SUM(C285:C300)</f>
        <v>0</v>
      </c>
      <c r="BT50" s="258">
        <f t="shared" si="39"/>
        <v>0</v>
      </c>
      <c r="BU50" s="258">
        <f t="shared" si="39"/>
        <v>0</v>
      </c>
      <c r="BV50" s="258">
        <f t="shared" si="39"/>
        <v>0</v>
      </c>
      <c r="BW50" s="258">
        <f t="shared" si="39"/>
        <v>0</v>
      </c>
      <c r="BX50" s="258">
        <f t="shared" si="39"/>
        <v>0</v>
      </c>
      <c r="BY50" s="258">
        <f t="shared" si="39"/>
        <v>0</v>
      </c>
      <c r="BZ50" s="258">
        <f t="shared" si="39"/>
        <v>0</v>
      </c>
      <c r="CA50" s="258">
        <f>IF(BS50=0,0,BZ50/BS50)</f>
        <v>0</v>
      </c>
      <c r="CB50" s="258" t="e">
        <f>IF('F0 - Données générales'!$H$5="journalier",'F3 - Relevé du personnel'!BZ50/'F2 - Données facturation'!$Y$30,IF('F0 - Données générales'!$H$5="horaire",'F3 - Relevé du personnel'!BZ50/'F2 - Données facturation'!$AA$20,0))</f>
        <v>#DIV/0!</v>
      </c>
    </row>
    <row r="51" spans="1:80" ht="15" customHeight="1" x14ac:dyDescent="0.3">
      <c r="A51" s="106">
        <v>48</v>
      </c>
      <c r="B51" s="324">
        <f>'F0 - Données générales'!$C$4</f>
        <v>7</v>
      </c>
      <c r="C51" s="106" t="s">
        <v>95</v>
      </c>
      <c r="D51" s="106"/>
      <c r="E51" s="107"/>
      <c r="F51" s="108"/>
      <c r="G51" s="109"/>
      <c r="H51" s="110">
        <f t="shared" si="5"/>
        <v>0</v>
      </c>
      <c r="I51" s="177"/>
      <c r="J51" s="118" t="str">
        <f>IF(OR(D51="",F51=""),"",(((HLOOKUP(D51,'Carrières et points'!$A$20:$AD$60,F51+2,FALSE)*'Carrières et points'!$C$7*'Carrières et points'!$C$9)+(HLOOKUP(D51,'Carrières et points'!$A$20:$AD$60,F51+2,FALSE)*'Carrières et points'!$C$13*'Carrières et points'!$C$15))*(1+'F0 - Données générales'!$I$4)+((HLOOKUP(D51,'Carrières et points'!$A$20:$AD$60,F51+2,FALSE)*'Carrières et points'!$C$7*'Carrières et points'!$C$9)+(HLOOKUP(D51,'Carrières et points'!$A$20:$AD$60,F51+2,FALSE)*'Carrières et points'!$C$13*'Carrières et points'!$C$15))/12*(1+'F0 - Données générales'!$L$13))*E51)</f>
        <v/>
      </c>
      <c r="K51" s="118" t="str">
        <f t="shared" si="6"/>
        <v/>
      </c>
      <c r="L51" s="109"/>
      <c r="M51" s="177"/>
      <c r="N51" s="118" t="str">
        <f t="shared" si="0"/>
        <v/>
      </c>
      <c r="O51" s="177"/>
      <c r="P51" s="177"/>
      <c r="Q51" s="177"/>
      <c r="R51" s="255" t="str">
        <f t="shared" si="7"/>
        <v/>
      </c>
      <c r="S51" s="120"/>
      <c r="T51" s="742" t="s">
        <v>79</v>
      </c>
      <c r="U51" s="742"/>
      <c r="V51" s="26" t="s">
        <v>86</v>
      </c>
      <c r="W51" s="741" t="s">
        <v>87</v>
      </c>
      <c r="X51" s="741"/>
      <c r="Y51" s="181">
        <f>SUMIFS('F3 - Relevé du personnel'!$E$4:$E$281,'F3 - Relevé du personnel'!$D$4:$D$281,$V51,'F3 - Relevé du personnel'!$C$4:$C$281,'F0 - Données générales'!$K$31,'F3 - Relevé du personnel'!$B$4:$B$281,"8.1")</f>
        <v>0</v>
      </c>
      <c r="Z51" s="181">
        <f>SUMIFS('F3 - Relevé du personnel'!$H$4:$H$281,'F3 - Relevé du personnel'!$D$4:$D$281,$V51,'F3 - Relevé du personnel'!$C$4:$C$281,'F0 - Données générales'!$K$31,'F3 - Relevé du personnel'!$B$4:$B$281,"8.1")</f>
        <v>0</v>
      </c>
      <c r="AA51" s="256">
        <f>SUMIFS('F3 - Relevé du personnel'!$I$4:$I$281,'F3 - Relevé du personnel'!$D$4:$D$281,$V51,'F3 - Relevé du personnel'!$C$4:$C$281,'F0 - Données générales'!$K$31,'F3 - Relevé du personnel'!$B$4:$B$281,"8.1")</f>
        <v>0</v>
      </c>
      <c r="AB51" s="256">
        <f>SUMIFS('F3 - Relevé du personnel'!$M$4:$M$281,'F3 - Relevé du personnel'!$D$4:$D$281,$V51,'F3 - Relevé du personnel'!$C$4:$C$281,'F0 - Données générales'!$K$31,'F3 - Relevé du personnel'!$B$4:$B$281,"8.1")</f>
        <v>0</v>
      </c>
      <c r="AC51" s="196">
        <f t="shared" si="26"/>
        <v>0</v>
      </c>
      <c r="AD51" s="256">
        <f>SUMIFS('F3 - Relevé du personnel'!$O$4:$O$281,'F3 - Relevé du personnel'!$D$4:$D$281,$V51,'F3 - Relevé du personnel'!$C$4:$C$281,'F0 - Données générales'!$K$31,'F3 - Relevé du personnel'!$B$4:$B$281,"8.1")</f>
        <v>0</v>
      </c>
      <c r="AE51" s="256">
        <f>SUMIFS('F3 - Relevé du personnel'!$P$4:$P$281,'F3 - Relevé du personnel'!$D$4:$D$281,$V51,'F3 - Relevé du personnel'!$C$4:$C$281,'F0 - Données générales'!$K$31,'F3 - Relevé du personnel'!$B$4:$B$281,"8.1")</f>
        <v>0</v>
      </c>
      <c r="AF51" s="256">
        <f>SUMIFS('F3 - Relevé du personnel'!$Q$4:$Q$281,'F3 - Relevé du personnel'!$D$4:$D$281,$V51,'F3 - Relevé du personnel'!$C$4:$C$281,'F0 - Données générales'!$K$31,'F3 - Relevé du personnel'!$B$4:$B$281,"8.1")</f>
        <v>0</v>
      </c>
      <c r="AG51" s="182">
        <f t="shared" si="27"/>
        <v>0</v>
      </c>
      <c r="AH51" s="197" t="str">
        <f t="shared" si="28"/>
        <v/>
      </c>
      <c r="AI51" s="198" t="str">
        <f>IF(Y51=0,"",(SUMPRODUCT(($D$4:$D$253=V51)*($C$4:$C$253='F0 - Données générales'!$K$31)*($E$4:$E$253)*($F$4:$F$253)*($B$4:$B$253="8.1"))+SUMPRODUCT(($D$257:$D$281=V51)*($C$257:$C$281='F0 - Données générales'!$K$31)*($B$257:$B$281="8.1")*($E$257:$E$281)*($F$257:$F$281)))/(SUMIFS('F3 - Relevé du personnel'!$E$4:$E$281,'F3 - Relevé du personnel'!$D$4:$D$281,$V51,'F3 - Relevé du personnel'!$C$4:$C$281,'F0 - Données générales'!$K$31,'F3 - Relevé du personnel'!$B$4:$B$281,"8.1")))</f>
        <v/>
      </c>
      <c r="AJ51" s="120"/>
      <c r="AK51" s="742" t="s">
        <v>79</v>
      </c>
      <c r="AL51" s="742"/>
      <c r="AM51" s="26" t="s">
        <v>86</v>
      </c>
      <c r="AN51" s="741" t="s">
        <v>87</v>
      </c>
      <c r="AO51" s="741"/>
      <c r="AP51" s="181">
        <f>SUMIFS('F3 - Relevé du personnel'!$E$4:$E$281,'F3 - Relevé du personnel'!$D$4:$D$281,$AM51,'F3 - Relevé du personnel'!$C$4:$C$281,'F0 - Données générales'!$K$31,'F3 - Relevé du personnel'!$B$4:$B$281,"psycho")</f>
        <v>0</v>
      </c>
      <c r="AQ51" s="181">
        <f>SUMIFS('F3 - Relevé du personnel'!$H$4:$H$281,'F3 - Relevé du personnel'!$D$4:$D$281,$AM51,'F3 - Relevé du personnel'!$C$4:$C$281,'F0 - Données générales'!$K$31,'F3 - Relevé du personnel'!$B$4:$B$281,"psycho")</f>
        <v>0</v>
      </c>
      <c r="AR51" s="256">
        <f>SUMIFS('F3 - Relevé du personnel'!$I$4:$I$281,'F3 - Relevé du personnel'!$D$4:$D$281,$AM51,'F3 - Relevé du personnel'!$C$4:$C$281,'F0 - Données générales'!$K$31,'F3 - Relevé du personnel'!$B$4:$B$281,"psycho")</f>
        <v>0</v>
      </c>
      <c r="AS51" s="256">
        <f>SUMIFS('F3 - Relevé du personnel'!$M$4:$M$281,'F3 - Relevé du personnel'!$D$4:$D$281,$AM51,'F3 - Relevé du personnel'!$C$4:$C$281,'F0 - Données générales'!$K$31,'F3 - Relevé du personnel'!$B$4:$B$281,"psycho")</f>
        <v>0</v>
      </c>
      <c r="AT51" s="196">
        <f t="shared" si="37"/>
        <v>0</v>
      </c>
      <c r="AU51" s="256">
        <f>SUMIFS('F3 - Relevé du personnel'!$O$4:$O$281,'F3 - Relevé du personnel'!$D$4:$D$281,$AM51,'F3 - Relevé du personnel'!$C$4:$C$281,'F0 - Données générales'!$K$31,'F3 - Relevé du personnel'!$B$4:$B$281,"psycho")</f>
        <v>0</v>
      </c>
      <c r="AV51" s="256">
        <f>SUMIFS('F3 - Relevé du personnel'!$P$4:$P$281,'F3 - Relevé du personnel'!$D$4:$D$281,$AM51,'F3 - Relevé du personnel'!$C$4:$C$281,'F0 - Données générales'!$K$31,'F3 - Relevé du personnel'!$B$4:$B$281,"psycho")</f>
        <v>0</v>
      </c>
      <c r="AW51" s="256">
        <f>SUMIFS('F3 - Relevé du personnel'!$Q$4:$Q$281,'F3 - Relevé du personnel'!$D$4:$D$281,$AM51,'F3 - Relevé du personnel'!$C$4:$C$281,'F0 - Données générales'!$K$31,'F3 - Relevé du personnel'!$B$4:$B$281,"psycho")</f>
        <v>0</v>
      </c>
      <c r="AX51" s="182">
        <f t="shared" si="38"/>
        <v>0</v>
      </c>
      <c r="AY51" s="197" t="str">
        <f t="shared" si="36"/>
        <v/>
      </c>
      <c r="AZ51" s="198" t="str">
        <f>IF(AP51=0,"",(SUMPRODUCT(($D$4:$D$253=AM51)*($C$4:$C$253='F0 - Données générales'!$K$31)*($E$4:$E$253)*($F$4:$F$253)*($B$4:$B$253="psycho"))+SUMPRODUCT(($D$257:$D$281=AM51)*($C$257:$C$281='F0 - Données générales'!$K$31)*($B$257:$B$281="psycho")*($E$257:$E$281)*($F$257:$F$281)))/(SUMIFS('F3 - Relevé du personnel'!$E$4:$E$281,'F3 - Relevé du personnel'!$D$4:$D$281,$AM51,'F3 - Relevé du personnel'!$C$4:$C$281,'F0 - Données générales'!$K$31,'F3 - Relevé du personnel'!$B$4:$B$281,"psycho")))</f>
        <v/>
      </c>
      <c r="BA51" s="120"/>
      <c r="BB51" s="760" t="s">
        <v>79</v>
      </c>
      <c r="BC51" s="761"/>
      <c r="BD51" s="13" t="s">
        <v>253</v>
      </c>
      <c r="BE51" s="758" t="s">
        <v>78</v>
      </c>
      <c r="BF51" s="759"/>
      <c r="BG51" s="45">
        <f>SUMIFS('F3 - Relevé du personnel'!$E$4:$E$281,'F3 - Relevé du personnel'!$D$4:$D$281,$BD51,'F3 - Relevé du personnel'!$C$4:$C$281,'F0 - Données générales'!$K$32)</f>
        <v>0</v>
      </c>
      <c r="BH51" s="259">
        <f>SUMIFS('F3 - Relevé du personnel'!$I$4:$I$281,'F3 - Relevé du personnel'!$D$4:$D$281,$BD51,'F3 - Relevé du personnel'!$C$4:$C$281,'F0 - Données générales'!$K$32)</f>
        <v>0</v>
      </c>
      <c r="BI51" s="259">
        <f>SUMIFS('F3 - Relevé du personnel'!$M$4:$M$281,'F3 - Relevé du personnel'!$D$4:$D$281,$BD51,'F3 - Relevé du personnel'!$C$4:$C$281,'F0 - Données générales'!$K$32)</f>
        <v>0</v>
      </c>
      <c r="BJ51" s="189">
        <f t="shared" si="33"/>
        <v>0</v>
      </c>
      <c r="BK51" s="259">
        <f>SUMIFS('F3 - Relevé du personnel'!$O$4:$O$281,'F3 - Relevé du personnel'!$D$4:$D$281,$BD51,'F3 - Relevé du personnel'!$C$4:$C$281,'F0 - Données générales'!$K$32)</f>
        <v>0</v>
      </c>
      <c r="BL51" s="259">
        <f>SUMIFS('F3 - Relevé du personnel'!$P$4:$P$281,'F3 - Relevé du personnel'!$D$4:$D$281,$BD51,'F3 - Relevé du personnel'!$C$4:$C$281,'F0 - Données générales'!$K$32)</f>
        <v>0</v>
      </c>
      <c r="BM51" s="259">
        <f>SUMIFS('F3 - Relevé du personnel'!$Q$4:$Q$281,'F3 - Relevé du personnel'!$D$4:$D$281,$BD51,'F3 - Relevé du personnel'!$C$4:$C$281,'F0 - Données générales'!$K$32)</f>
        <v>0</v>
      </c>
      <c r="BN51" s="48">
        <f t="shared" si="34"/>
        <v>0</v>
      </c>
      <c r="BO51" s="187" t="str">
        <f t="shared" si="35"/>
        <v/>
      </c>
      <c r="BP51" s="188" t="str">
        <f>IF(BG51=0,"",(SUMPRODUCT(($D$4:$D$253=BD51)*($C$4:$C$253='F0 - Données générales'!$K$32)*($E$4:$E$253)*($F$4:$F$253))+SUMPRODUCT(($D$257:$D$281=BD51)*($C$257:$C$281='F0 - Données générales'!$K$32)*($E$257:$E$281)*($F$257:$F$281)))/(SUMIFS('F3 - Relevé du personnel'!$E$4:$E$281,'F3 - Relevé du personnel'!$D$4:$D$281,$BD51,'F3 - Relevé du personnel'!$C$4:$C$281,'F0 - Données générales'!$K$32)))</f>
        <v/>
      </c>
      <c r="BQ51" s="171"/>
      <c r="BR51" s="170"/>
    </row>
    <row r="52" spans="1:80" ht="15" customHeight="1" x14ac:dyDescent="0.3">
      <c r="A52" s="106">
        <v>49</v>
      </c>
      <c r="B52" s="324">
        <f>'F0 - Données générales'!$C$4</f>
        <v>7</v>
      </c>
      <c r="C52" s="106" t="s">
        <v>95</v>
      </c>
      <c r="D52" s="106"/>
      <c r="E52" s="107"/>
      <c r="F52" s="108"/>
      <c r="G52" s="109"/>
      <c r="H52" s="110">
        <f t="shared" si="5"/>
        <v>0</v>
      </c>
      <c r="I52" s="177"/>
      <c r="J52" s="118" t="str">
        <f>IF(OR(D52="",F52=""),"",(((HLOOKUP(D52,'Carrières et points'!$A$20:$AD$60,F52+2,FALSE)*'Carrières et points'!$C$7*'Carrières et points'!$C$9)+(HLOOKUP(D52,'Carrières et points'!$A$20:$AD$60,F52+2,FALSE)*'Carrières et points'!$C$13*'Carrières et points'!$C$15))*(1+'F0 - Données générales'!$I$4)+((HLOOKUP(D52,'Carrières et points'!$A$20:$AD$60,F52+2,FALSE)*'Carrières et points'!$C$7*'Carrières et points'!$C$9)+(HLOOKUP(D52,'Carrières et points'!$A$20:$AD$60,F52+2,FALSE)*'Carrières et points'!$C$13*'Carrières et points'!$C$15))/12*(1+'F0 - Données générales'!$L$13))*E52)</f>
        <v/>
      </c>
      <c r="K52" s="118" t="str">
        <f t="shared" si="6"/>
        <v/>
      </c>
      <c r="L52" s="109"/>
      <c r="M52" s="177"/>
      <c r="N52" s="118" t="str">
        <f t="shared" si="0"/>
        <v/>
      </c>
      <c r="O52" s="177"/>
      <c r="P52" s="177"/>
      <c r="Q52" s="177"/>
      <c r="R52" s="255" t="str">
        <f t="shared" si="7"/>
        <v/>
      </c>
      <c r="S52" s="120"/>
      <c r="T52" s="742" t="s">
        <v>79</v>
      </c>
      <c r="U52" s="742"/>
      <c r="V52" s="26" t="s">
        <v>88</v>
      </c>
      <c r="W52" s="741" t="s">
        <v>89</v>
      </c>
      <c r="X52" s="741"/>
      <c r="Y52" s="181">
        <f>SUMIFS('F3 - Relevé du personnel'!$E$4:$E$281,'F3 - Relevé du personnel'!$D$4:$D$281,$V52,'F3 - Relevé du personnel'!$C$4:$C$281,'F0 - Données générales'!$K$31,'F3 - Relevé du personnel'!$B$4:$B$281,"8.1")</f>
        <v>0</v>
      </c>
      <c r="Z52" s="181">
        <f>SUMIFS('F3 - Relevé du personnel'!$H$4:$H$281,'F3 - Relevé du personnel'!$D$4:$D$281,$V52,'F3 - Relevé du personnel'!$C$4:$C$281,'F0 - Données générales'!$K$31,'F3 - Relevé du personnel'!$B$4:$B$281,"8.1")</f>
        <v>0</v>
      </c>
      <c r="AA52" s="256">
        <f>SUMIFS('F3 - Relevé du personnel'!$I$4:$I$281,'F3 - Relevé du personnel'!$D$4:$D$281,$V52,'F3 - Relevé du personnel'!$C$4:$C$281,'F0 - Données générales'!$K$31,'F3 - Relevé du personnel'!$B$4:$B$281,"8.1")</f>
        <v>0</v>
      </c>
      <c r="AB52" s="256">
        <f>SUMIFS('F3 - Relevé du personnel'!$M$4:$M$281,'F3 - Relevé du personnel'!$D$4:$D$281,$V52,'F3 - Relevé du personnel'!$C$4:$C$281,'F0 - Données générales'!$K$31,'F3 - Relevé du personnel'!$B$4:$B$281,"8.1")</f>
        <v>0</v>
      </c>
      <c r="AC52" s="196">
        <f t="shared" si="26"/>
        <v>0</v>
      </c>
      <c r="AD52" s="256">
        <f>SUMIFS('F3 - Relevé du personnel'!$O$4:$O$281,'F3 - Relevé du personnel'!$D$4:$D$281,$V52,'F3 - Relevé du personnel'!$C$4:$C$281,'F0 - Données générales'!$K$31,'F3 - Relevé du personnel'!$B$4:$B$281,"8.1")</f>
        <v>0</v>
      </c>
      <c r="AE52" s="256">
        <f>SUMIFS('F3 - Relevé du personnel'!$P$4:$P$281,'F3 - Relevé du personnel'!$D$4:$D$281,$V52,'F3 - Relevé du personnel'!$C$4:$C$281,'F0 - Données générales'!$K$31,'F3 - Relevé du personnel'!$B$4:$B$281,"8.1")</f>
        <v>0</v>
      </c>
      <c r="AF52" s="256">
        <f>SUMIFS('F3 - Relevé du personnel'!$Q$4:$Q$281,'F3 - Relevé du personnel'!$D$4:$D$281,$V52,'F3 - Relevé du personnel'!$C$4:$C$281,'F0 - Données générales'!$K$31,'F3 - Relevé du personnel'!$B$4:$B$281,"8.1")</f>
        <v>0</v>
      </c>
      <c r="AG52" s="182">
        <f t="shared" si="27"/>
        <v>0</v>
      </c>
      <c r="AH52" s="197" t="str">
        <f t="shared" si="28"/>
        <v/>
      </c>
      <c r="AI52" s="198" t="str">
        <f>IF(Y52=0,"",(SUMPRODUCT(($D$4:$D$253=V52)*($C$4:$C$253='F0 - Données générales'!$K$31)*($E$4:$E$253)*($F$4:$F$253)*($B$4:$B$253="8.1"))+SUMPRODUCT(($D$257:$D$281=V52)*($C$257:$C$281='F0 - Données générales'!$K$31)*($B$257:$B$281="8.1")*($E$257:$E$281)*($F$257:$F$281)))/(SUMIFS('F3 - Relevé du personnel'!$E$4:$E$281,'F3 - Relevé du personnel'!$D$4:$D$281,$V52,'F3 - Relevé du personnel'!$C$4:$C$281,'F0 - Données générales'!$K$31,'F3 - Relevé du personnel'!$B$4:$B$281,"8.1")))</f>
        <v/>
      </c>
      <c r="AJ52" s="120"/>
      <c r="AK52" s="742" t="s">
        <v>79</v>
      </c>
      <c r="AL52" s="742"/>
      <c r="AM52" s="26" t="s">
        <v>88</v>
      </c>
      <c r="AN52" s="741" t="s">
        <v>89</v>
      </c>
      <c r="AO52" s="741"/>
      <c r="AP52" s="181">
        <f>SUMIFS('F3 - Relevé du personnel'!$E$4:$E$281,'F3 - Relevé du personnel'!$D$4:$D$281,$AM52,'F3 - Relevé du personnel'!$C$4:$C$281,'F0 - Données générales'!$K$31,'F3 - Relevé du personnel'!$B$4:$B$281,"psycho")</f>
        <v>0</v>
      </c>
      <c r="AQ52" s="181">
        <f>SUMIFS('F3 - Relevé du personnel'!$H$4:$H$281,'F3 - Relevé du personnel'!$D$4:$D$281,$AM52,'F3 - Relevé du personnel'!$C$4:$C$281,'F0 - Données générales'!$K$31,'F3 - Relevé du personnel'!$B$4:$B$281,"psycho")</f>
        <v>0</v>
      </c>
      <c r="AR52" s="256">
        <f>SUMIFS('F3 - Relevé du personnel'!$I$4:$I$281,'F3 - Relevé du personnel'!$D$4:$D$281,$AM52,'F3 - Relevé du personnel'!$C$4:$C$281,'F0 - Données générales'!$K$31,'F3 - Relevé du personnel'!$B$4:$B$281,"psycho")</f>
        <v>0</v>
      </c>
      <c r="AS52" s="256">
        <f>SUMIFS('F3 - Relevé du personnel'!$M$4:$M$281,'F3 - Relevé du personnel'!$D$4:$D$281,$AM52,'F3 - Relevé du personnel'!$C$4:$C$281,'F0 - Données générales'!$K$31,'F3 - Relevé du personnel'!$B$4:$B$281,"psycho")</f>
        <v>0</v>
      </c>
      <c r="AT52" s="196">
        <f t="shared" si="37"/>
        <v>0</v>
      </c>
      <c r="AU52" s="256">
        <f>SUMIFS('F3 - Relevé du personnel'!$O$4:$O$281,'F3 - Relevé du personnel'!$D$4:$D$281,$AM52,'F3 - Relevé du personnel'!$C$4:$C$281,'F0 - Données générales'!$K$31,'F3 - Relevé du personnel'!$B$4:$B$281,"psycho")</f>
        <v>0</v>
      </c>
      <c r="AV52" s="256">
        <f>SUMIFS('F3 - Relevé du personnel'!$P$4:$P$281,'F3 - Relevé du personnel'!$D$4:$D$281,$AM52,'F3 - Relevé du personnel'!$C$4:$C$281,'F0 - Données générales'!$K$31,'F3 - Relevé du personnel'!$B$4:$B$281,"psycho")</f>
        <v>0</v>
      </c>
      <c r="AW52" s="256">
        <f>SUMIFS('F3 - Relevé du personnel'!$Q$4:$Q$281,'F3 - Relevé du personnel'!$D$4:$D$281,$AM52,'F3 - Relevé du personnel'!$C$4:$C$281,'F0 - Données générales'!$K$31,'F3 - Relevé du personnel'!$B$4:$B$281,"psycho")</f>
        <v>0</v>
      </c>
      <c r="AX52" s="182">
        <f t="shared" si="38"/>
        <v>0</v>
      </c>
      <c r="AY52" s="197" t="str">
        <f t="shared" si="36"/>
        <v/>
      </c>
      <c r="AZ52" s="198" t="str">
        <f>IF(AP52=0,"",(SUMPRODUCT(($D$4:$D$253=AM52)*($C$4:$C$253='F0 - Données générales'!$K$31)*($E$4:$E$253)*($F$4:$F$253)*($B$4:$B$253="psycho"))+SUMPRODUCT(($D$257:$D$281=AM52)*($C$257:$C$281='F0 - Données générales'!$K$31)*($B$257:$B$281="psycho")*($E$257:$E$281)*($F$257:$F$281)))/(SUMIFS('F3 - Relevé du personnel'!$E$4:$E$281,'F3 - Relevé du personnel'!$D$4:$D$281,$AM52,'F3 - Relevé du personnel'!$C$4:$C$281,'F0 - Données générales'!$K$31,'F3 - Relevé du personnel'!$B$4:$B$281,"psycho")))</f>
        <v/>
      </c>
      <c r="BA52" s="120"/>
      <c r="BB52" s="762"/>
      <c r="BC52" s="763"/>
      <c r="BD52" s="777" t="s">
        <v>165</v>
      </c>
      <c r="BE52" s="778"/>
      <c r="BF52" s="779"/>
      <c r="BG52" s="190">
        <f>SUM(BG43:BG51)</f>
        <v>0</v>
      </c>
      <c r="BH52" s="191">
        <f>SUM(BH43:BH51)</f>
        <v>0</v>
      </c>
      <c r="BI52" s="191">
        <f>SUM(BI43:BI51)</f>
        <v>0</v>
      </c>
      <c r="BJ52" s="191">
        <f t="shared" si="33"/>
        <v>0</v>
      </c>
      <c r="BK52" s="191">
        <f>SUM(BK43:BK51)</f>
        <v>0</v>
      </c>
      <c r="BL52" s="191">
        <f>SUM(BL43:BL51)</f>
        <v>0</v>
      </c>
      <c r="BM52" s="191">
        <f>SUM(BM43:BM51)</f>
        <v>0</v>
      </c>
      <c r="BN52" s="192">
        <f>BH52+BI52-SUM(BK52:BM52)</f>
        <v>0</v>
      </c>
      <c r="BO52" s="192" t="str">
        <f t="shared" si="35"/>
        <v/>
      </c>
      <c r="BP52" s="193"/>
      <c r="BQ52" s="171"/>
      <c r="BR52" s="170"/>
      <c r="BS52" s="1" t="s">
        <v>328</v>
      </c>
    </row>
    <row r="53" spans="1:80" ht="15" customHeight="1" x14ac:dyDescent="0.3">
      <c r="A53" s="106">
        <v>50</v>
      </c>
      <c r="B53" s="324">
        <f>'F0 - Données générales'!$C$4</f>
        <v>7</v>
      </c>
      <c r="C53" s="106" t="s">
        <v>95</v>
      </c>
      <c r="D53" s="106"/>
      <c r="E53" s="107"/>
      <c r="F53" s="108"/>
      <c r="G53" s="109"/>
      <c r="H53" s="110">
        <f t="shared" si="5"/>
        <v>0</v>
      </c>
      <c r="I53" s="177"/>
      <c r="J53" s="118" t="str">
        <f>IF(OR(D53="",F53=""),"",(((HLOOKUP(D53,'Carrières et points'!$A$20:$AD$60,F53+2,FALSE)*'Carrières et points'!$C$7*'Carrières et points'!$C$9)+(HLOOKUP(D53,'Carrières et points'!$A$20:$AD$60,F53+2,FALSE)*'Carrières et points'!$C$13*'Carrières et points'!$C$15))*(1+'F0 - Données générales'!$I$4)+((HLOOKUP(D53,'Carrières et points'!$A$20:$AD$60,F53+2,FALSE)*'Carrières et points'!$C$7*'Carrières et points'!$C$9)+(HLOOKUP(D53,'Carrières et points'!$A$20:$AD$60,F53+2,FALSE)*'Carrières et points'!$C$13*'Carrières et points'!$C$15))/12*(1+'F0 - Données générales'!$L$13))*E53)</f>
        <v/>
      </c>
      <c r="K53" s="118" t="str">
        <f t="shared" si="6"/>
        <v/>
      </c>
      <c r="L53" s="109"/>
      <c r="M53" s="177"/>
      <c r="N53" s="118" t="str">
        <f t="shared" si="0"/>
        <v/>
      </c>
      <c r="O53" s="177"/>
      <c r="P53" s="177"/>
      <c r="Q53" s="177"/>
      <c r="R53" s="255" t="str">
        <f t="shared" si="7"/>
        <v/>
      </c>
      <c r="S53" s="120"/>
      <c r="T53" s="742" t="s">
        <v>79</v>
      </c>
      <c r="U53" s="742"/>
      <c r="V53" s="26" t="s">
        <v>90</v>
      </c>
      <c r="W53" s="741" t="s">
        <v>91</v>
      </c>
      <c r="X53" s="741"/>
      <c r="Y53" s="181">
        <f>SUMIFS('F3 - Relevé du personnel'!$E$4:$E$281,'F3 - Relevé du personnel'!$D$4:$D$281,$V53,'F3 - Relevé du personnel'!$C$4:$C$281,'F0 - Données générales'!$K$31,'F3 - Relevé du personnel'!$B$4:$B$281,"8.1")</f>
        <v>0</v>
      </c>
      <c r="Z53" s="181">
        <f>SUMIFS('F3 - Relevé du personnel'!$H$4:$H$281,'F3 - Relevé du personnel'!$D$4:$D$281,$V53,'F3 - Relevé du personnel'!$C$4:$C$281,'F0 - Données générales'!$K$31,'F3 - Relevé du personnel'!$B$4:$B$281,"8.1")</f>
        <v>0</v>
      </c>
      <c r="AA53" s="256">
        <f>SUMIFS('F3 - Relevé du personnel'!$I$4:$I$281,'F3 - Relevé du personnel'!$D$4:$D$281,$V53,'F3 - Relevé du personnel'!$C$4:$C$281,'F0 - Données générales'!$K$31,'F3 - Relevé du personnel'!$B$4:$B$281,"8.1")</f>
        <v>0</v>
      </c>
      <c r="AB53" s="256">
        <f>SUMIFS('F3 - Relevé du personnel'!$M$4:$M$281,'F3 - Relevé du personnel'!$D$4:$D$281,$V53,'F3 - Relevé du personnel'!$C$4:$C$281,'F0 - Données générales'!$K$31,'F3 - Relevé du personnel'!$B$4:$B$281,"8.1")</f>
        <v>0</v>
      </c>
      <c r="AC53" s="196">
        <f t="shared" si="26"/>
        <v>0</v>
      </c>
      <c r="AD53" s="256">
        <f>SUMIFS('F3 - Relevé du personnel'!$O$4:$O$281,'F3 - Relevé du personnel'!$D$4:$D$281,$V53,'F3 - Relevé du personnel'!$C$4:$C$281,'F0 - Données générales'!$K$31,'F3 - Relevé du personnel'!$B$4:$B$281,"8.1")</f>
        <v>0</v>
      </c>
      <c r="AE53" s="256">
        <f>SUMIFS('F3 - Relevé du personnel'!$P$4:$P$281,'F3 - Relevé du personnel'!$D$4:$D$281,$V53,'F3 - Relevé du personnel'!$C$4:$C$281,'F0 - Données générales'!$K$31,'F3 - Relevé du personnel'!$B$4:$B$281,"8.1")</f>
        <v>0</v>
      </c>
      <c r="AF53" s="256">
        <f>SUMIFS('F3 - Relevé du personnel'!$Q$4:$Q$281,'F3 - Relevé du personnel'!$D$4:$D$281,$V53,'F3 - Relevé du personnel'!$C$4:$C$281,'F0 - Données générales'!$K$31,'F3 - Relevé du personnel'!$B$4:$B$281,"8.1")</f>
        <v>0</v>
      </c>
      <c r="AG53" s="182">
        <f t="shared" si="27"/>
        <v>0</v>
      </c>
      <c r="AH53" s="197" t="str">
        <f t="shared" si="28"/>
        <v/>
      </c>
      <c r="AI53" s="198" t="str">
        <f>IF(Y53=0,"",(SUMPRODUCT(($D$4:$D$253=V53)*($C$4:$C$253='F0 - Données générales'!$K$31)*($E$4:$E$253)*($F$4:$F$253)*($B$4:$B$253="8.1"))+SUMPRODUCT(($D$257:$D$281=V53)*($C$257:$C$281='F0 - Données générales'!$K$31)*($B$257:$B$281="8.1")*($E$257:$E$281)*($F$257:$F$281)))/(SUMIFS('F3 - Relevé du personnel'!$E$4:$E$281,'F3 - Relevé du personnel'!$D$4:$D$281,$V53,'F3 - Relevé du personnel'!$C$4:$C$281,'F0 - Données générales'!$K$31,'F3 - Relevé du personnel'!$B$4:$B$281,"8.1")))</f>
        <v/>
      </c>
      <c r="AJ53" s="120"/>
      <c r="AK53" s="742" t="s">
        <v>79</v>
      </c>
      <c r="AL53" s="742"/>
      <c r="AM53" s="26" t="s">
        <v>90</v>
      </c>
      <c r="AN53" s="741" t="s">
        <v>91</v>
      </c>
      <c r="AO53" s="741"/>
      <c r="AP53" s="181">
        <f>SUMIFS('F3 - Relevé du personnel'!$E$4:$E$281,'F3 - Relevé du personnel'!$D$4:$D$281,$AM53,'F3 - Relevé du personnel'!$C$4:$C$281,'F0 - Données générales'!$K$31,'F3 - Relevé du personnel'!$B$4:$B$281,"psycho")</f>
        <v>0</v>
      </c>
      <c r="AQ53" s="181">
        <f>SUMIFS('F3 - Relevé du personnel'!$H$4:$H$281,'F3 - Relevé du personnel'!$D$4:$D$281,$AM53,'F3 - Relevé du personnel'!$C$4:$C$281,'F0 - Données générales'!$K$31,'F3 - Relevé du personnel'!$B$4:$B$281,"psycho")</f>
        <v>0</v>
      </c>
      <c r="AR53" s="256">
        <f>SUMIFS('F3 - Relevé du personnel'!$I$4:$I$281,'F3 - Relevé du personnel'!$D$4:$D$281,$AM53,'F3 - Relevé du personnel'!$C$4:$C$281,'F0 - Données générales'!$K$31,'F3 - Relevé du personnel'!$B$4:$B$281,"psycho")</f>
        <v>0</v>
      </c>
      <c r="AS53" s="256">
        <f>SUMIFS('F3 - Relevé du personnel'!$M$4:$M$281,'F3 - Relevé du personnel'!$D$4:$D$281,$AM53,'F3 - Relevé du personnel'!$C$4:$C$281,'F0 - Données générales'!$K$31,'F3 - Relevé du personnel'!$B$4:$B$281,"psycho")</f>
        <v>0</v>
      </c>
      <c r="AT53" s="196">
        <f t="shared" si="37"/>
        <v>0</v>
      </c>
      <c r="AU53" s="256">
        <f>SUMIFS('F3 - Relevé du personnel'!$O$4:$O$281,'F3 - Relevé du personnel'!$D$4:$D$281,$AM53,'F3 - Relevé du personnel'!$C$4:$C$281,'F0 - Données générales'!$K$31,'F3 - Relevé du personnel'!$B$4:$B$281,"psycho")</f>
        <v>0</v>
      </c>
      <c r="AV53" s="256">
        <f>SUMIFS('F3 - Relevé du personnel'!$P$4:$P$281,'F3 - Relevé du personnel'!$D$4:$D$281,$AM53,'F3 - Relevé du personnel'!$C$4:$C$281,'F0 - Données générales'!$K$31,'F3 - Relevé du personnel'!$B$4:$B$281,"psycho")</f>
        <v>0</v>
      </c>
      <c r="AW53" s="256">
        <f>SUMIFS('F3 - Relevé du personnel'!$Q$4:$Q$281,'F3 - Relevé du personnel'!$D$4:$D$281,$AM53,'F3 - Relevé du personnel'!$C$4:$C$281,'F0 - Données générales'!$K$31,'F3 - Relevé du personnel'!$B$4:$B$281,"psycho")</f>
        <v>0</v>
      </c>
      <c r="AX53" s="182">
        <f t="shared" si="38"/>
        <v>0</v>
      </c>
      <c r="AY53" s="197" t="str">
        <f t="shared" si="36"/>
        <v/>
      </c>
      <c r="AZ53" s="198" t="str">
        <f>IF(AP53=0,"",(SUMPRODUCT(($D$4:$D$253=AM53)*($C$4:$C$253='F0 - Données générales'!$K$31)*($E$4:$E$253)*($F$4:$F$253)*($B$4:$B$253="psycho"))+SUMPRODUCT(($D$257:$D$281=AM53)*($C$257:$C$281='F0 - Données générales'!$K$31)*($B$257:$B$281="psycho")*($E$257:$E$281)*($F$257:$F$281)))/(SUMIFS('F3 - Relevé du personnel'!$E$4:$E$281,'F3 - Relevé du personnel'!$D$4:$D$281,$AM53,'F3 - Relevé du personnel'!$C$4:$C$281,'F0 - Données générales'!$K$31,'F3 - Relevé du personnel'!$B$4:$B$281,"psycho")))</f>
        <v/>
      </c>
      <c r="BA53" s="120"/>
      <c r="BB53" s="760" t="s">
        <v>61</v>
      </c>
      <c r="BC53" s="761"/>
      <c r="BD53" s="13" t="s">
        <v>80</v>
      </c>
      <c r="BE53" s="758" t="s">
        <v>81</v>
      </c>
      <c r="BF53" s="759"/>
      <c r="BG53" s="45">
        <f>SUMIFS('F3 - Relevé du personnel'!$E$4:$E$281,'F3 - Relevé du personnel'!$D$4:$D$281,$BD53,'F3 - Relevé du personnel'!$C$4:$C$281,'F0 - Données générales'!$K$32)</f>
        <v>0</v>
      </c>
      <c r="BH53" s="259">
        <f>SUMIFS('F3 - Relevé du personnel'!$I$4:$I$281,'F3 - Relevé du personnel'!$D$4:$D$281,$BD53,'F3 - Relevé du personnel'!$C$4:$C$281,'F0 - Données générales'!$K$32)</f>
        <v>0</v>
      </c>
      <c r="BI53" s="259">
        <f>SUMIFS('F3 - Relevé du personnel'!$M$4:$M$281,'F3 - Relevé du personnel'!$D$4:$D$281,$BD53,'F3 - Relevé du personnel'!$C$4:$C$281,'F0 - Données générales'!$K$32)</f>
        <v>0</v>
      </c>
      <c r="BJ53" s="189">
        <f t="shared" si="33"/>
        <v>0</v>
      </c>
      <c r="BK53" s="259">
        <f>SUMIFS('F3 - Relevé du personnel'!$O$4:$O$281,'F3 - Relevé du personnel'!$D$4:$D$281,$BD53,'F3 - Relevé du personnel'!$C$4:$C$281,'F0 - Données générales'!$K$32)</f>
        <v>0</v>
      </c>
      <c r="BL53" s="259">
        <f>SUMIFS('F3 - Relevé du personnel'!$P$4:$P$281,'F3 - Relevé du personnel'!$D$4:$D$281,$BD53,'F3 - Relevé du personnel'!$C$4:$C$281,'F0 - Données générales'!$K$32)</f>
        <v>0</v>
      </c>
      <c r="BM53" s="259">
        <f>SUMIFS('F3 - Relevé du personnel'!$Q$4:$Q$281,'F3 - Relevé du personnel'!$D$4:$D$281,$BD53,'F3 - Relevé du personnel'!$C$4:$C$281,'F0 - Données générales'!$K$32)</f>
        <v>0</v>
      </c>
      <c r="BN53" s="48">
        <f t="shared" ref="BN53:BN58" si="40">BH53+BI53-SUM(BK53:BM53)</f>
        <v>0</v>
      </c>
      <c r="BO53" s="187" t="str">
        <f t="shared" si="35"/>
        <v/>
      </c>
      <c r="BP53" s="188" t="str">
        <f>IF(BG53=0,"",(SUMPRODUCT(($D$4:$D$253=BD53)*($C$4:$C$253='F0 - Données générales'!$K$32)*($E$4:$E$253)*($F$4:$F$253))+SUMPRODUCT(($D$257:$D$281=BD53)*($C$257:$C$281='F0 - Données générales'!$K$32)*($E$257:$E$281)*($F$257:$F$281)))/(SUMIFS('F3 - Relevé du personnel'!$E$4:$E$281,'F3 - Relevé du personnel'!$D$4:$D$281,$BD53,'F3 - Relevé du personnel'!$C$4:$C$281,'F0 - Données générales'!$K$32)))</f>
        <v/>
      </c>
      <c r="BQ53" s="171"/>
      <c r="BR53" s="170"/>
      <c r="BS53" s="783" t="s">
        <v>325</v>
      </c>
      <c r="BT53" s="783" t="s">
        <v>318</v>
      </c>
      <c r="BU53" s="783" t="s">
        <v>304</v>
      </c>
      <c r="BV53" s="783" t="s">
        <v>326</v>
      </c>
      <c r="BW53" s="783" t="s">
        <v>284</v>
      </c>
      <c r="BX53" s="783" t="s">
        <v>59</v>
      </c>
      <c r="BY53" s="783" t="s">
        <v>60</v>
      </c>
      <c r="BZ53" s="783" t="s">
        <v>327</v>
      </c>
      <c r="CA53" s="783" t="s">
        <v>735</v>
      </c>
      <c r="CB53" s="783" t="s">
        <v>334</v>
      </c>
    </row>
    <row r="54" spans="1:80" ht="15" customHeight="1" x14ac:dyDescent="0.3">
      <c r="A54" s="106">
        <v>51</v>
      </c>
      <c r="B54" s="324">
        <f>'F0 - Données générales'!$C$4</f>
        <v>7</v>
      </c>
      <c r="C54" s="106" t="s">
        <v>95</v>
      </c>
      <c r="D54" s="106"/>
      <c r="E54" s="107"/>
      <c r="F54" s="108"/>
      <c r="G54" s="109"/>
      <c r="H54" s="110">
        <f t="shared" si="5"/>
        <v>0</v>
      </c>
      <c r="I54" s="177"/>
      <c r="J54" s="118" t="str">
        <f>IF(OR(D54="",F54=""),"",(((HLOOKUP(D54,'Carrières et points'!$A$20:$AD$60,F54+2,FALSE)*'Carrières et points'!$C$7*'Carrières et points'!$C$9)+(HLOOKUP(D54,'Carrières et points'!$A$20:$AD$60,F54+2,FALSE)*'Carrières et points'!$C$13*'Carrières et points'!$C$15))*(1+'F0 - Données générales'!$I$4)+((HLOOKUP(D54,'Carrières et points'!$A$20:$AD$60,F54+2,FALSE)*'Carrières et points'!$C$7*'Carrières et points'!$C$9)+(HLOOKUP(D54,'Carrières et points'!$A$20:$AD$60,F54+2,FALSE)*'Carrières et points'!$C$13*'Carrières et points'!$C$15))/12*(1+'F0 - Données générales'!$L$13))*E54)</f>
        <v/>
      </c>
      <c r="K54" s="118" t="str">
        <f t="shared" si="6"/>
        <v/>
      </c>
      <c r="L54" s="109"/>
      <c r="M54" s="177"/>
      <c r="N54" s="118" t="str">
        <f t="shared" si="0"/>
        <v/>
      </c>
      <c r="O54" s="177"/>
      <c r="P54" s="177"/>
      <c r="Q54" s="177"/>
      <c r="R54" s="255" t="str">
        <f t="shared" si="7"/>
        <v/>
      </c>
      <c r="S54" s="120"/>
      <c r="T54" s="743"/>
      <c r="U54" s="743"/>
      <c r="V54" s="749" t="s">
        <v>166</v>
      </c>
      <c r="W54" s="749"/>
      <c r="X54" s="749"/>
      <c r="Y54" s="199">
        <f>SUM(Y48:Y53)</f>
        <v>0</v>
      </c>
      <c r="Z54" s="199">
        <f>SUM(Z48:Z53)</f>
        <v>0</v>
      </c>
      <c r="AA54" s="200">
        <f>SUM(AA48:AA53)</f>
        <v>0</v>
      </c>
      <c r="AB54" s="200">
        <f>SUM(AB48:AB53)</f>
        <v>0</v>
      </c>
      <c r="AC54" s="200">
        <f t="shared" si="26"/>
        <v>0</v>
      </c>
      <c r="AD54" s="200">
        <f>SUM(AD48:AD53)</f>
        <v>0</v>
      </c>
      <c r="AE54" s="200">
        <f>SUM(AE48:AE53)</f>
        <v>0</v>
      </c>
      <c r="AF54" s="200">
        <f>SUM(AF48:AF53)</f>
        <v>0</v>
      </c>
      <c r="AG54" s="201">
        <f t="shared" si="27"/>
        <v>0</v>
      </c>
      <c r="AH54" s="201" t="str">
        <f t="shared" si="28"/>
        <v/>
      </c>
      <c r="AI54" s="202"/>
      <c r="AJ54" s="120"/>
      <c r="AK54" s="743"/>
      <c r="AL54" s="743"/>
      <c r="AM54" s="749" t="s">
        <v>166</v>
      </c>
      <c r="AN54" s="749"/>
      <c r="AO54" s="749"/>
      <c r="AP54" s="199">
        <f>SUM(AP48:AP53)</f>
        <v>0</v>
      </c>
      <c r="AQ54" s="199">
        <f>SUM(AQ48:AQ53)</f>
        <v>0</v>
      </c>
      <c r="AR54" s="200">
        <f>SUM(AR48:AR53)</f>
        <v>0</v>
      </c>
      <c r="AS54" s="200">
        <f>SUM(AS48:AS53)</f>
        <v>0</v>
      </c>
      <c r="AT54" s="200">
        <f>(AR54+AS54)</f>
        <v>0</v>
      </c>
      <c r="AU54" s="200">
        <f>SUM(AU48:AU53)</f>
        <v>0</v>
      </c>
      <c r="AV54" s="200">
        <f>SUM(AV48:AV53)</f>
        <v>0</v>
      </c>
      <c r="AW54" s="200">
        <f>SUM(AW48:AW53)</f>
        <v>0</v>
      </c>
      <c r="AX54" s="201">
        <f>AR54+AS54-SUM(AU54:AW54)</f>
        <v>0</v>
      </c>
      <c r="AY54" s="201" t="str">
        <f t="shared" si="36"/>
        <v/>
      </c>
      <c r="AZ54" s="202"/>
      <c r="BA54" s="120"/>
      <c r="BB54" s="760" t="s">
        <v>64</v>
      </c>
      <c r="BC54" s="761"/>
      <c r="BD54" s="13" t="s">
        <v>82</v>
      </c>
      <c r="BE54" s="758" t="s">
        <v>83</v>
      </c>
      <c r="BF54" s="759"/>
      <c r="BG54" s="45">
        <f>SUMIFS('F3 - Relevé du personnel'!$E$4:$E$281,'F3 - Relevé du personnel'!$D$4:$D$281,$BD54,'F3 - Relevé du personnel'!$C$4:$C$281,'F0 - Données générales'!$K$32)</f>
        <v>0</v>
      </c>
      <c r="BH54" s="259">
        <f>SUMIFS('F3 - Relevé du personnel'!$I$4:$I$281,'F3 - Relevé du personnel'!$D$4:$D$281,$BD54,'F3 - Relevé du personnel'!$C$4:$C$281,'F0 - Données générales'!$K$32)</f>
        <v>0</v>
      </c>
      <c r="BI54" s="259">
        <f>SUMIFS('F3 - Relevé du personnel'!$M$4:$M$281,'F3 - Relevé du personnel'!$D$4:$D$281,$BD54,'F3 - Relevé du personnel'!$C$4:$C$281,'F0 - Données générales'!$K$32)</f>
        <v>0</v>
      </c>
      <c r="BJ54" s="189">
        <f t="shared" si="33"/>
        <v>0</v>
      </c>
      <c r="BK54" s="259">
        <f>SUMIFS('F3 - Relevé du personnel'!$O$4:$O$281,'F3 - Relevé du personnel'!$D$4:$D$281,$BD54,'F3 - Relevé du personnel'!$C$4:$C$281,'F0 - Données générales'!$K$32)</f>
        <v>0</v>
      </c>
      <c r="BL54" s="259">
        <f>SUMIFS('F3 - Relevé du personnel'!$P$4:$P$281,'F3 - Relevé du personnel'!$D$4:$D$281,$BD54,'F3 - Relevé du personnel'!$C$4:$C$281,'F0 - Données générales'!$K$32)</f>
        <v>0</v>
      </c>
      <c r="BM54" s="259">
        <f>SUMIFS('F3 - Relevé du personnel'!$Q$4:$Q$281,'F3 - Relevé du personnel'!$D$4:$D$281,$BD54,'F3 - Relevé du personnel'!$C$4:$C$281,'F0 - Données générales'!$K$32)</f>
        <v>0</v>
      </c>
      <c r="BN54" s="48">
        <f t="shared" si="40"/>
        <v>0</v>
      </c>
      <c r="BO54" s="187" t="str">
        <f t="shared" si="35"/>
        <v/>
      </c>
      <c r="BP54" s="188" t="str">
        <f>IF(BG54=0,"",(SUMPRODUCT(($D$4:$D$253=BD54)*($C$4:$C$253='F0 - Données générales'!$K$32)*($E$4:$E$253)*($F$4:$F$253))+SUMPRODUCT(($D$257:$D$281=BD54)*($C$257:$C$281='F0 - Données générales'!$K$32)*($E$257:$E$281)*($F$257:$F$281)))/(SUMIFS('F3 - Relevé du personnel'!$E$4:$E$281,'F3 - Relevé du personnel'!$D$4:$D$281,$BD54,'F3 - Relevé du personnel'!$C$4:$C$281,'F0 - Données générales'!$K$32)))</f>
        <v/>
      </c>
      <c r="BQ54" s="171"/>
      <c r="BR54" s="170"/>
      <c r="BS54" s="783"/>
      <c r="BT54" s="783"/>
      <c r="BU54" s="783"/>
      <c r="BV54" s="783"/>
      <c r="BW54" s="783"/>
      <c r="BX54" s="783"/>
      <c r="BY54" s="783"/>
      <c r="BZ54" s="783"/>
      <c r="CA54" s="783"/>
      <c r="CB54" s="783"/>
    </row>
    <row r="55" spans="1:80" ht="15" customHeight="1" x14ac:dyDescent="0.3">
      <c r="A55" s="106">
        <v>52</v>
      </c>
      <c r="B55" s="324">
        <f>'F0 - Données générales'!$C$4</f>
        <v>7</v>
      </c>
      <c r="C55" s="106" t="s">
        <v>95</v>
      </c>
      <c r="D55" s="106"/>
      <c r="E55" s="107"/>
      <c r="F55" s="108"/>
      <c r="G55" s="109"/>
      <c r="H55" s="110">
        <f t="shared" si="5"/>
        <v>0</v>
      </c>
      <c r="I55" s="177"/>
      <c r="J55" s="118" t="str">
        <f>IF(OR(D55="",F55=""),"",(((HLOOKUP(D55,'Carrières et points'!$A$20:$AD$60,F55+2,FALSE)*'Carrières et points'!$C$7*'Carrières et points'!$C$9)+(HLOOKUP(D55,'Carrières et points'!$A$20:$AD$60,F55+2,FALSE)*'Carrières et points'!$C$13*'Carrières et points'!$C$15))*(1+'F0 - Données générales'!$I$4)+((HLOOKUP(D55,'Carrières et points'!$A$20:$AD$60,F55+2,FALSE)*'Carrières et points'!$C$7*'Carrières et points'!$C$9)+(HLOOKUP(D55,'Carrières et points'!$A$20:$AD$60,F55+2,FALSE)*'Carrières et points'!$C$13*'Carrières et points'!$C$15))/12*(1+'F0 - Données générales'!$L$13))*E55)</f>
        <v/>
      </c>
      <c r="K55" s="118" t="str">
        <f t="shared" si="6"/>
        <v/>
      </c>
      <c r="L55" s="109"/>
      <c r="M55" s="177"/>
      <c r="N55" s="118" t="str">
        <f t="shared" si="0"/>
        <v/>
      </c>
      <c r="O55" s="177"/>
      <c r="P55" s="177"/>
      <c r="Q55" s="177"/>
      <c r="R55" s="255" t="str">
        <f t="shared" si="7"/>
        <v/>
      </c>
      <c r="S55" s="120"/>
      <c r="T55" s="742" t="s">
        <v>79</v>
      </c>
      <c r="U55" s="742"/>
      <c r="V55" s="26" t="s">
        <v>92</v>
      </c>
      <c r="W55" s="741" t="s">
        <v>93</v>
      </c>
      <c r="X55" s="741"/>
      <c r="Y55" s="181">
        <f>SUMIFS('F3 - Relevé du personnel'!$E$4:$E$281,'F3 - Relevé du personnel'!$D$4:$D$281,$V55,'F3 - Relevé du personnel'!$C$4:$C$281,'F0 - Données générales'!$K$31,'F3 - Relevé du personnel'!$B$4:$B$281,"8.1")</f>
        <v>0</v>
      </c>
      <c r="Z55" s="181">
        <f>SUMIFS('F3 - Relevé du personnel'!$H$4:$H$281,'F3 - Relevé du personnel'!$D$4:$D$281,$V55,'F3 - Relevé du personnel'!$C$4:$C$281,'F0 - Données générales'!$K$31,'F3 - Relevé du personnel'!$B$4:$B$281,"8.1")</f>
        <v>0</v>
      </c>
      <c r="AA55" s="256">
        <f>SUMIFS('F3 - Relevé du personnel'!$I$4:$I$281,'F3 - Relevé du personnel'!$D$4:$D$281,$V55,'F3 - Relevé du personnel'!$C$4:$C$281,'F0 - Données générales'!$K$31,'F3 - Relevé du personnel'!$B$4:$B$281,"8.1")</f>
        <v>0</v>
      </c>
      <c r="AB55" s="256">
        <f>SUMIFS('F3 - Relevé du personnel'!$M$4:$M$281,'F3 - Relevé du personnel'!$D$4:$D$281,$V55,'F3 - Relevé du personnel'!$C$4:$C$281,'F0 - Données générales'!$K$31,'F3 - Relevé du personnel'!$B$4:$B$281,"8.1")</f>
        <v>0</v>
      </c>
      <c r="AC55" s="196">
        <f t="shared" si="26"/>
        <v>0</v>
      </c>
      <c r="AD55" s="256">
        <f>SUMIFS('F3 - Relevé du personnel'!$O$4:$O$281,'F3 - Relevé du personnel'!$D$4:$D$281,$V55,'F3 - Relevé du personnel'!$C$4:$C$281,'F0 - Données générales'!$K$31,'F3 - Relevé du personnel'!$B$4:$B$281,"8.1")</f>
        <v>0</v>
      </c>
      <c r="AE55" s="256">
        <f>SUMIFS('F3 - Relevé du personnel'!$P$4:$P$281,'F3 - Relevé du personnel'!$D$4:$D$281,$V55,'F3 - Relevé du personnel'!$C$4:$C$281,'F0 - Données générales'!$K$31,'F3 - Relevé du personnel'!$B$4:$B$281,"8.1")</f>
        <v>0</v>
      </c>
      <c r="AF55" s="256">
        <f>SUMIFS('F3 - Relevé du personnel'!$Q$4:$Q$281,'F3 - Relevé du personnel'!$D$4:$D$281,$V55,'F3 - Relevé du personnel'!$C$4:$C$281,'F0 - Données générales'!$K$31,'F3 - Relevé du personnel'!$B$4:$B$281,"8.1")</f>
        <v>0</v>
      </c>
      <c r="AG55" s="182">
        <f t="shared" si="27"/>
        <v>0</v>
      </c>
      <c r="AH55" s="197" t="str">
        <f t="shared" si="28"/>
        <v/>
      </c>
      <c r="AI55" s="198" t="str">
        <f>IF(Y55=0,"",(SUMPRODUCT(($D$4:$D$253=V55)*($C$4:$C$253='F0 - Données générales'!$K$31)*($E$4:$E$253)*($F$4:$F$253)*($B$4:$B$253="8.1"))+SUMPRODUCT(($D$257:$D$281=V55)*($C$257:$C$281='F0 - Données générales'!$K$31)*($B$257:$B$281="8.1")*($E$257:$E$281)*($F$257:$F$281)))/(SUMIFS('F3 - Relevé du personnel'!$E$4:$E$281,'F3 - Relevé du personnel'!$D$4:$D$281,$V55,'F3 - Relevé du personnel'!$C$4:$C$281,'F0 - Données générales'!$K$31,'F3 - Relevé du personnel'!$B$4:$B$281,"8.1")))</f>
        <v/>
      </c>
      <c r="AJ55" s="120"/>
      <c r="AK55" s="742" t="s">
        <v>79</v>
      </c>
      <c r="AL55" s="742"/>
      <c r="AM55" s="26" t="s">
        <v>92</v>
      </c>
      <c r="AN55" s="741" t="s">
        <v>93</v>
      </c>
      <c r="AO55" s="741"/>
      <c r="AP55" s="181">
        <f>SUMIFS('F3 - Relevé du personnel'!$E$4:$E$281,'F3 - Relevé du personnel'!$D$4:$D$281,$AM55,'F3 - Relevé du personnel'!$C$4:$C$281,'F0 - Données générales'!$K$31,'F3 - Relevé du personnel'!$B$4:$B$281,"psycho")</f>
        <v>0</v>
      </c>
      <c r="AQ55" s="181">
        <f>SUMIFS('F3 - Relevé du personnel'!$H$4:$H$281,'F3 - Relevé du personnel'!$D$4:$D$281,$AM55,'F3 - Relevé du personnel'!$C$4:$C$281,'F0 - Données générales'!$K$31,'F3 - Relevé du personnel'!$B$4:$B$281,"psycho")</f>
        <v>0</v>
      </c>
      <c r="AR55" s="256">
        <f>SUMIFS('F3 - Relevé du personnel'!$I$4:$I$281,'F3 - Relevé du personnel'!$D$4:$D$281,$AM55,'F3 - Relevé du personnel'!$C$4:$C$281,'F0 - Données générales'!$K$31,'F3 - Relevé du personnel'!$B$4:$B$281,"psycho")</f>
        <v>0</v>
      </c>
      <c r="AS55" s="256">
        <f>SUMIFS('F3 - Relevé du personnel'!$M$4:$M$281,'F3 - Relevé du personnel'!$D$4:$D$281,$AM55,'F3 - Relevé du personnel'!$C$4:$C$281,'F0 - Données générales'!$K$31,'F3 - Relevé du personnel'!$B$4:$B$281,"psycho")</f>
        <v>0</v>
      </c>
      <c r="AT55" s="196">
        <f>(AR55+AS55)</f>
        <v>0</v>
      </c>
      <c r="AU55" s="256">
        <f>SUMIFS('F3 - Relevé du personnel'!$O$4:$O$281,'F3 - Relevé du personnel'!$D$4:$D$281,$AM55,'F3 - Relevé du personnel'!$C$4:$C$281,'F0 - Données générales'!$K$31,'F3 - Relevé du personnel'!$B$4:$B$281,"psycho")</f>
        <v>0</v>
      </c>
      <c r="AV55" s="256">
        <f>SUMIFS('F3 - Relevé du personnel'!$P$4:$P$281,'F3 - Relevé du personnel'!$D$4:$D$281,$AM55,'F3 - Relevé du personnel'!$C$4:$C$281,'F0 - Données générales'!$K$31,'F3 - Relevé du personnel'!$B$4:$B$281,"psycho")</f>
        <v>0</v>
      </c>
      <c r="AW55" s="256">
        <f>SUMIFS('F3 - Relevé du personnel'!$Q$4:$Q$281,'F3 - Relevé du personnel'!$D$4:$D$281,$AM55,'F3 - Relevé du personnel'!$C$4:$C$281,'F0 - Données générales'!$K$31,'F3 - Relevé du personnel'!$B$4:$B$281,"psycho")</f>
        <v>0</v>
      </c>
      <c r="AX55" s="182">
        <f>AR55+AS55-SUM(AU55:AW55)</f>
        <v>0</v>
      </c>
      <c r="AY55" s="197" t="str">
        <f>IF(AP55=0,"",(AX55)/AP55)</f>
        <v/>
      </c>
      <c r="AZ55" s="198" t="str">
        <f>IF(AP55=0,"",(SUMPRODUCT(($D$4:$D$253=AM55)*($C$4:$C$253='F0 - Données générales'!$K$31)*($E$4:$E$253)*($F$4:$F$253)*($B$4:$B$253="psycho"))+SUMPRODUCT(($D$257:$D$281=AM55)*($C$257:$C$281='F0 - Données générales'!$K$31)*($B$257:$B$281="psycho")*($E$257:$E$281)*($F$257:$F$281)))/(SUMIFS('F3 - Relevé du personnel'!$E$4:$E$281,'F3 - Relevé du personnel'!$D$4:$D$281,$AM55,'F3 - Relevé du personnel'!$C$4:$C$281,'F0 - Données générales'!$K$31,'F3 - Relevé du personnel'!$B$4:$B$281,"psycho")))</f>
        <v/>
      </c>
      <c r="BA55" s="120"/>
      <c r="BB55" s="760" t="s">
        <v>65</v>
      </c>
      <c r="BC55" s="761"/>
      <c r="BD55" s="13" t="s">
        <v>84</v>
      </c>
      <c r="BE55" s="758" t="s">
        <v>85</v>
      </c>
      <c r="BF55" s="759"/>
      <c r="BG55" s="45">
        <f>SUMIFS('F3 - Relevé du personnel'!$E$4:$E$281,'F3 - Relevé du personnel'!$D$4:$D$281,$BD55,'F3 - Relevé du personnel'!$C$4:$C$281,'F0 - Données générales'!$K$32)</f>
        <v>0</v>
      </c>
      <c r="BH55" s="259">
        <f>SUMIFS('F3 - Relevé du personnel'!$I$4:$I$281,'F3 - Relevé du personnel'!$D$4:$D$281,$BD55,'F3 - Relevé du personnel'!$C$4:$C$281,'F0 - Données générales'!$K$32)</f>
        <v>0</v>
      </c>
      <c r="BI55" s="259">
        <f>SUMIFS('F3 - Relevé du personnel'!$M$4:$M$281,'F3 - Relevé du personnel'!$D$4:$D$281,$BD55,'F3 - Relevé du personnel'!$C$4:$C$281,'F0 - Données générales'!$K$32)</f>
        <v>0</v>
      </c>
      <c r="BJ55" s="189">
        <f t="shared" si="33"/>
        <v>0</v>
      </c>
      <c r="BK55" s="259">
        <f>SUMIFS('F3 - Relevé du personnel'!$O$4:$O$281,'F3 - Relevé du personnel'!$D$4:$D$281,$BD55,'F3 - Relevé du personnel'!$C$4:$C$281,'F0 - Données générales'!$K$32)</f>
        <v>0</v>
      </c>
      <c r="BL55" s="259">
        <f>SUMIFS('F3 - Relevé du personnel'!$P$4:$P$281,'F3 - Relevé du personnel'!$D$4:$D$281,$BD55,'F3 - Relevé du personnel'!$C$4:$C$281,'F0 - Données générales'!$K$32)</f>
        <v>0</v>
      </c>
      <c r="BM55" s="259">
        <f>SUMIFS('F3 - Relevé du personnel'!$Q$4:$Q$281,'F3 - Relevé du personnel'!$D$4:$D$281,$BD55,'F3 - Relevé du personnel'!$C$4:$C$281,'F0 - Données générales'!$K$32)</f>
        <v>0</v>
      </c>
      <c r="BN55" s="48">
        <f t="shared" si="40"/>
        <v>0</v>
      </c>
      <c r="BO55" s="187" t="str">
        <f t="shared" si="35"/>
        <v/>
      </c>
      <c r="BP55" s="188" t="str">
        <f>IF(BG55=0,"",(SUMPRODUCT(($D$4:$D$253=BD55)*($C$4:$C$253='F0 - Données générales'!$K$32)*($E$4:$E$253)*($F$4:$F$253))+SUMPRODUCT(($D$257:$D$281=BD55)*($C$257:$C$281='F0 - Données générales'!$K$32)*($E$257:$E$281)*($F$257:$F$281)))/(SUMIFS('F3 - Relevé du personnel'!$E$4:$E$281,'F3 - Relevé du personnel'!$D$4:$D$281,$BD55,'F3 - Relevé du personnel'!$C$4:$C$281,'F0 - Données générales'!$K$32)))</f>
        <v/>
      </c>
      <c r="BQ55" s="171"/>
      <c r="BR55" s="170"/>
      <c r="BS55" s="783"/>
      <c r="BT55" s="783"/>
      <c r="BU55" s="783"/>
      <c r="BV55" s="783"/>
      <c r="BW55" s="783"/>
      <c r="BX55" s="783"/>
      <c r="BY55" s="783"/>
      <c r="BZ55" s="783"/>
      <c r="CA55" s="783"/>
      <c r="CB55" s="783"/>
    </row>
    <row r="56" spans="1:80" ht="15" customHeight="1" x14ac:dyDescent="0.3">
      <c r="A56" s="106">
        <v>53</v>
      </c>
      <c r="B56" s="324">
        <f>'F0 - Données générales'!$C$4</f>
        <v>7</v>
      </c>
      <c r="C56" s="106" t="s">
        <v>95</v>
      </c>
      <c r="D56" s="106"/>
      <c r="E56" s="107"/>
      <c r="F56" s="108"/>
      <c r="G56" s="109"/>
      <c r="H56" s="110">
        <f t="shared" si="5"/>
        <v>0</v>
      </c>
      <c r="I56" s="177"/>
      <c r="J56" s="118" t="str">
        <f>IF(OR(D56="",F56=""),"",(((HLOOKUP(D56,'Carrières et points'!$A$20:$AD$60,F56+2,FALSE)*'Carrières et points'!$C$7*'Carrières et points'!$C$9)+(HLOOKUP(D56,'Carrières et points'!$A$20:$AD$60,F56+2,FALSE)*'Carrières et points'!$C$13*'Carrières et points'!$C$15))*(1+'F0 - Données générales'!$I$4)+((HLOOKUP(D56,'Carrières et points'!$A$20:$AD$60,F56+2,FALSE)*'Carrières et points'!$C$7*'Carrières et points'!$C$9)+(HLOOKUP(D56,'Carrières et points'!$A$20:$AD$60,F56+2,FALSE)*'Carrières et points'!$C$13*'Carrières et points'!$C$15))/12*(1+'F0 - Données générales'!$L$13))*E56)</f>
        <v/>
      </c>
      <c r="K56" s="118" t="str">
        <f t="shared" si="6"/>
        <v/>
      </c>
      <c r="L56" s="109"/>
      <c r="M56" s="177"/>
      <c r="N56" s="118" t="str">
        <f t="shared" si="0"/>
        <v/>
      </c>
      <c r="O56" s="177"/>
      <c r="P56" s="177"/>
      <c r="Q56" s="177"/>
      <c r="R56" s="255" t="str">
        <f t="shared" si="7"/>
        <v/>
      </c>
      <c r="S56" s="120"/>
      <c r="T56" s="743"/>
      <c r="U56" s="743"/>
      <c r="V56" s="749" t="s">
        <v>167</v>
      </c>
      <c r="W56" s="749"/>
      <c r="X56" s="749"/>
      <c r="Y56" s="199">
        <f>SUM(Y55:Y55)</f>
        <v>0</v>
      </c>
      <c r="Z56" s="199">
        <f>SUM(Z55:Z55)</f>
        <v>0</v>
      </c>
      <c r="AA56" s="200">
        <f>SUM(AA55:AA55)</f>
        <v>0</v>
      </c>
      <c r="AB56" s="200">
        <f>SUM(AB55:AB55)</f>
        <v>0</v>
      </c>
      <c r="AC56" s="200">
        <f t="shared" si="26"/>
        <v>0</v>
      </c>
      <c r="AD56" s="200">
        <f>SUM(AD55:AD55)</f>
        <v>0</v>
      </c>
      <c r="AE56" s="200">
        <f>SUM(AE55:AE55)</f>
        <v>0</v>
      </c>
      <c r="AF56" s="200">
        <f>SUM(AF55:AF55)</f>
        <v>0</v>
      </c>
      <c r="AG56" s="201">
        <f t="shared" si="27"/>
        <v>0</v>
      </c>
      <c r="AH56" s="201" t="str">
        <f t="shared" si="28"/>
        <v/>
      </c>
      <c r="AI56" s="202"/>
      <c r="AJ56" s="120"/>
      <c r="AK56" s="743"/>
      <c r="AL56" s="743"/>
      <c r="AM56" s="749" t="s">
        <v>167</v>
      </c>
      <c r="AN56" s="749"/>
      <c r="AO56" s="749"/>
      <c r="AP56" s="199">
        <f>SUM(AP55:AP55)</f>
        <v>0</v>
      </c>
      <c r="AQ56" s="199">
        <f>SUM(AQ55:AQ55)</f>
        <v>0</v>
      </c>
      <c r="AR56" s="200">
        <f>SUM(AR55:AR55)</f>
        <v>0</v>
      </c>
      <c r="AS56" s="200">
        <f>SUM(AS55:AS55)</f>
        <v>0</v>
      </c>
      <c r="AT56" s="200">
        <f>(AR56+AS56)</f>
        <v>0</v>
      </c>
      <c r="AU56" s="200">
        <f>SUM(AU55:AU55)</f>
        <v>0</v>
      </c>
      <c r="AV56" s="200">
        <f>SUM(AV55:AV55)</f>
        <v>0</v>
      </c>
      <c r="AW56" s="200">
        <f>SUM(AW55:AW55)</f>
        <v>0</v>
      </c>
      <c r="AX56" s="201">
        <f>AR56+AS56-SUM(AU56:AW56)</f>
        <v>0</v>
      </c>
      <c r="AY56" s="201" t="str">
        <f t="shared" si="36"/>
        <v/>
      </c>
      <c r="AZ56" s="202"/>
      <c r="BA56" s="120"/>
      <c r="BB56" s="760" t="s">
        <v>79</v>
      </c>
      <c r="BC56" s="761"/>
      <c r="BD56" s="13" t="s">
        <v>86</v>
      </c>
      <c r="BE56" s="758" t="s">
        <v>87</v>
      </c>
      <c r="BF56" s="759"/>
      <c r="BG56" s="45">
        <f>SUMIFS('F3 - Relevé du personnel'!$E$4:$E$281,'F3 - Relevé du personnel'!$D$4:$D$281,$BD56,'F3 - Relevé du personnel'!$C$4:$C$281,'F0 - Données générales'!$K$32)</f>
        <v>0</v>
      </c>
      <c r="BH56" s="259">
        <f>SUMIFS('F3 - Relevé du personnel'!$I$4:$I$281,'F3 - Relevé du personnel'!$D$4:$D$281,$BD56,'F3 - Relevé du personnel'!$C$4:$C$281,'F0 - Données générales'!$K$32)</f>
        <v>0</v>
      </c>
      <c r="BI56" s="259">
        <f>SUMIFS('F3 - Relevé du personnel'!$M$4:$M$281,'F3 - Relevé du personnel'!$D$4:$D$281,$BD56,'F3 - Relevé du personnel'!$C$4:$C$281,'F0 - Données générales'!$K$32)</f>
        <v>0</v>
      </c>
      <c r="BJ56" s="189">
        <f t="shared" si="33"/>
        <v>0</v>
      </c>
      <c r="BK56" s="259">
        <f>SUMIFS('F3 - Relevé du personnel'!$O$4:$O$281,'F3 - Relevé du personnel'!$D$4:$D$281,$BD56,'F3 - Relevé du personnel'!$C$4:$C$281,'F0 - Données générales'!$K$32)</f>
        <v>0</v>
      </c>
      <c r="BL56" s="259">
        <f>SUMIFS('F3 - Relevé du personnel'!$P$4:$P$281,'F3 - Relevé du personnel'!$D$4:$D$281,$BD56,'F3 - Relevé du personnel'!$C$4:$C$281,'F0 - Données générales'!$K$32)</f>
        <v>0</v>
      </c>
      <c r="BM56" s="259">
        <f>SUMIFS('F3 - Relevé du personnel'!$Q$4:$Q$281,'F3 - Relevé du personnel'!$D$4:$D$281,$BD56,'F3 - Relevé du personnel'!$C$4:$C$281,'F0 - Données générales'!$K$32)</f>
        <v>0</v>
      </c>
      <c r="BN56" s="48">
        <f t="shared" si="40"/>
        <v>0</v>
      </c>
      <c r="BO56" s="187" t="str">
        <f t="shared" si="35"/>
        <v/>
      </c>
      <c r="BP56" s="188" t="str">
        <f>IF(BG56=0,"",(SUMPRODUCT(($D$4:$D$253=BD56)*($C$4:$C$253='F0 - Données générales'!$K$32)*($E$4:$E$253)*($F$4:$F$253))+SUMPRODUCT(($D$257:$D$281=BD56)*($C$257:$C$281='F0 - Données générales'!$K$32)*($E$257:$E$281)*($F$257:$F$281)))/(SUMIFS('F3 - Relevé du personnel'!$E$4:$E$281,'F3 - Relevé du personnel'!$D$4:$D$281,$BD56,'F3 - Relevé du personnel'!$C$4:$C$281,'F0 - Données générales'!$K$32)))</f>
        <v/>
      </c>
      <c r="BQ56" s="171"/>
      <c r="BR56" s="170"/>
      <c r="BS56" s="783"/>
      <c r="BT56" s="783"/>
      <c r="BU56" s="783"/>
      <c r="BV56" s="783"/>
      <c r="BW56" s="783"/>
      <c r="BX56" s="783"/>
      <c r="BY56" s="783"/>
      <c r="BZ56" s="783"/>
      <c r="CA56" s="783"/>
      <c r="CB56" s="783"/>
    </row>
    <row r="57" spans="1:80" ht="15" customHeight="1" x14ac:dyDescent="0.3">
      <c r="A57" s="106">
        <v>54</v>
      </c>
      <c r="B57" s="324">
        <f>'F0 - Données générales'!$C$4</f>
        <v>7</v>
      </c>
      <c r="C57" s="106" t="s">
        <v>95</v>
      </c>
      <c r="D57" s="106"/>
      <c r="E57" s="107"/>
      <c r="F57" s="108"/>
      <c r="G57" s="109"/>
      <c r="H57" s="110">
        <f t="shared" si="5"/>
        <v>0</v>
      </c>
      <c r="I57" s="177"/>
      <c r="J57" s="118" t="str">
        <f>IF(OR(D57="",F57=""),"",(((HLOOKUP(D57,'Carrières et points'!$A$20:$AD$60,F57+2,FALSE)*'Carrières et points'!$C$7*'Carrières et points'!$C$9)+(HLOOKUP(D57,'Carrières et points'!$A$20:$AD$60,F57+2,FALSE)*'Carrières et points'!$C$13*'Carrières et points'!$C$15))*(1+'F0 - Données générales'!$I$4)+((HLOOKUP(D57,'Carrières et points'!$A$20:$AD$60,F57+2,FALSE)*'Carrières et points'!$C$7*'Carrières et points'!$C$9)+(HLOOKUP(D57,'Carrières et points'!$A$20:$AD$60,F57+2,FALSE)*'Carrières et points'!$C$13*'Carrières et points'!$C$15))/12*(1+'F0 - Données générales'!$L$13))*E57)</f>
        <v/>
      </c>
      <c r="K57" s="118" t="str">
        <f t="shared" si="6"/>
        <v/>
      </c>
      <c r="L57" s="109"/>
      <c r="M57" s="177"/>
      <c r="N57" s="118" t="str">
        <f t="shared" si="0"/>
        <v/>
      </c>
      <c r="O57" s="177"/>
      <c r="P57" s="177"/>
      <c r="Q57" s="177"/>
      <c r="R57" s="255" t="str">
        <f t="shared" si="7"/>
        <v/>
      </c>
      <c r="S57" s="120"/>
      <c r="T57" s="742" t="s">
        <v>79</v>
      </c>
      <c r="U57" s="742"/>
      <c r="V57" s="26" t="s">
        <v>96</v>
      </c>
      <c r="W57" s="741"/>
      <c r="X57" s="741"/>
      <c r="Y57" s="181">
        <f>SUMIFS('F3 - Relevé du personnel'!$E$4:$E$281,'F3 - Relevé du personnel'!$D$4:$D$281,$V57,'F3 - Relevé du personnel'!$C$4:$C$281,'F0 - Données générales'!$K$31,'F3 - Relevé du personnel'!$B$4:$B$281,"8.1")</f>
        <v>0</v>
      </c>
      <c r="Z57" s="181">
        <f>SUMIFS('F3 - Relevé du personnel'!$H$4:$H$281,'F3 - Relevé du personnel'!$D$4:$D$281,$V57,'F3 - Relevé du personnel'!$C$4:$C$281,'F0 - Données générales'!$K$31,'F3 - Relevé du personnel'!$B$4:$B$281,"8.1")</f>
        <v>0</v>
      </c>
      <c r="AA57" s="256">
        <f>SUMIFS('F3 - Relevé du personnel'!$I$4:$I$281,'F3 - Relevé du personnel'!$D$4:$D$281,$V57,'F3 - Relevé du personnel'!$C$4:$C$281,'F0 - Données générales'!$K$31,'F3 - Relevé du personnel'!$B$4:$B$281,"8.1")</f>
        <v>0</v>
      </c>
      <c r="AB57" s="256">
        <f>SUMIFS('F3 - Relevé du personnel'!$M$4:$M$281,'F3 - Relevé du personnel'!$D$4:$D$281,$V57,'F3 - Relevé du personnel'!$C$4:$C$281,'F0 - Données générales'!$K$31,'F3 - Relevé du personnel'!$B$4:$B$281,"8.1")</f>
        <v>0</v>
      </c>
      <c r="AC57" s="196">
        <f t="shared" si="26"/>
        <v>0</v>
      </c>
      <c r="AD57" s="256">
        <f>SUMIFS('F3 - Relevé du personnel'!$O$4:$O$281,'F3 - Relevé du personnel'!$D$4:$D$281,$V57,'F3 - Relevé du personnel'!$C$4:$C$281,'F0 - Données générales'!$K$31,'F3 - Relevé du personnel'!$B$4:$B$281,"8.1")</f>
        <v>0</v>
      </c>
      <c r="AE57" s="256">
        <f>SUMIFS('F3 - Relevé du personnel'!$P$4:$P$281,'F3 - Relevé du personnel'!$D$4:$D$281,$V57,'F3 - Relevé du personnel'!$C$4:$C$281,'F0 - Données générales'!$K$31,'F3 - Relevé du personnel'!$B$4:$B$281,"8.1")</f>
        <v>0</v>
      </c>
      <c r="AF57" s="256">
        <f>SUMIFS('F3 - Relevé du personnel'!$Q$4:$Q$281,'F3 - Relevé du personnel'!$D$4:$D$281,$V57,'F3 - Relevé du personnel'!$C$4:$C$281,'F0 - Données générales'!$K$31,'F3 - Relevé du personnel'!$B$4:$B$281,"8.1")</f>
        <v>0</v>
      </c>
      <c r="AG57" s="182">
        <f t="shared" si="27"/>
        <v>0</v>
      </c>
      <c r="AH57" s="197" t="str">
        <f t="shared" si="28"/>
        <v/>
      </c>
      <c r="AI57" s="198" t="str">
        <f>IF(Y57=0,"",(SUMPRODUCT(($D$4:$D$253=V57)*($C$4:$C$253='F0 - Données générales'!$K$31)*($E$4:$E$253)*($F$4:$F$253)*($B$4:$B$253="8.1"))+SUMPRODUCT(($D$257:$D$281=V57)*($C$257:$C$281='F0 - Données générales'!$K$31)*($B$257:$B$281="8.1")*($E$257:$E$281)*($F$257:$F$281)))/(SUMIFS('F3 - Relevé du personnel'!$E$4:$E$281,'F3 - Relevé du personnel'!$D$4:$D$281,$V57,'F3 - Relevé du personnel'!$C$4:$C$281,'F0 - Données générales'!$K$31,'F3 - Relevé du personnel'!$B$4:$B$281,"8.1")))</f>
        <v/>
      </c>
      <c r="AJ57" s="120"/>
      <c r="AK57" s="742" t="s">
        <v>79</v>
      </c>
      <c r="AL57" s="742"/>
      <c r="AM57" s="26" t="s">
        <v>96</v>
      </c>
      <c r="AN57" s="741"/>
      <c r="AO57" s="741"/>
      <c r="AP57" s="181">
        <f>SUMIFS('F3 - Relevé du personnel'!$E$4:$E$281,'F3 - Relevé du personnel'!$D$4:$D$281,$AM57,'F3 - Relevé du personnel'!$C$4:$C$281,'F0 - Données générales'!$K$31,'F3 - Relevé du personnel'!$B$4:$B$281,"psycho")</f>
        <v>0</v>
      </c>
      <c r="AQ57" s="181">
        <f>SUMIFS('F3 - Relevé du personnel'!$H$4:$H$281,'F3 - Relevé du personnel'!$D$4:$D$281,$AM57,'F3 - Relevé du personnel'!$C$4:$C$281,'F0 - Données générales'!$K$31,'F3 - Relevé du personnel'!$B$4:$B$281,"psycho")</f>
        <v>0</v>
      </c>
      <c r="AR57" s="256">
        <f>SUMIFS('F3 - Relevé du personnel'!$I$4:$I$281,'F3 - Relevé du personnel'!$D$4:$D$281,$AM57,'F3 - Relevé du personnel'!$C$4:$C$281,'F0 - Données générales'!$K$31,'F3 - Relevé du personnel'!$B$4:$B$281,"psycho")</f>
        <v>0</v>
      </c>
      <c r="AS57" s="256">
        <f>SUMIFS('F3 - Relevé du personnel'!$M$4:$M$281,'F3 - Relevé du personnel'!$D$4:$D$281,$AM57,'F3 - Relevé du personnel'!$C$4:$C$281,'F0 - Données générales'!$K$31,'F3 - Relevé du personnel'!$B$4:$B$281,"psycho")</f>
        <v>0</v>
      </c>
      <c r="AT57" s="196">
        <f t="shared" ref="AT57:AT66" si="41">(AR57+AS57)</f>
        <v>0</v>
      </c>
      <c r="AU57" s="256">
        <f>SUMIFS('F3 - Relevé du personnel'!$O$4:$O$281,'F3 - Relevé du personnel'!$D$4:$D$281,$AM57,'F3 - Relevé du personnel'!$C$4:$C$281,'F0 - Données générales'!$K$31,'F3 - Relevé du personnel'!$B$4:$B$281,"psycho")</f>
        <v>0</v>
      </c>
      <c r="AV57" s="256">
        <f>SUMIFS('F3 - Relevé du personnel'!$P$4:$P$281,'F3 - Relevé du personnel'!$D$4:$D$281,$AM57,'F3 - Relevé du personnel'!$C$4:$C$281,'F0 - Données générales'!$K$31,'F3 - Relevé du personnel'!$B$4:$B$281,"psycho")</f>
        <v>0</v>
      </c>
      <c r="AW57" s="256">
        <f>SUMIFS('F3 - Relevé du personnel'!$Q$4:$Q$281,'F3 - Relevé du personnel'!$D$4:$D$281,$AM57,'F3 - Relevé du personnel'!$C$4:$C$281,'F0 - Données générales'!$K$31,'F3 - Relevé du personnel'!$B$4:$B$281,"psycho")</f>
        <v>0</v>
      </c>
      <c r="AX57" s="182">
        <f t="shared" ref="AX57:AX66" si="42">AR57+AS57-SUM(AU57:AW57)</f>
        <v>0</v>
      </c>
      <c r="AY57" s="197" t="str">
        <f t="shared" si="36"/>
        <v/>
      </c>
      <c r="AZ57" s="198" t="str">
        <f>IF(AP57=0,"",(SUMPRODUCT(($D$4:$D$253=AM57)*($C$4:$C$253='F0 - Données générales'!$K$31)*($E$4:$E$253)*($F$4:$F$253)*($B$4:$B$253="psycho"))+SUMPRODUCT(($D$257:$D$281=AM57)*($C$257:$C$281='F0 - Données générales'!$K$31)*($B$257:$B$281="psycho")*($E$257:$E$281)*($F$257:$F$281)))/(SUMIFS('F3 - Relevé du personnel'!$E$4:$E$281,'F3 - Relevé du personnel'!$D$4:$D$281,$AM57,'F3 - Relevé du personnel'!$C$4:$C$281,'F0 - Données générales'!$K$31,'F3 - Relevé du personnel'!$B$4:$B$281,"psycho")))</f>
        <v/>
      </c>
      <c r="BA57" s="120"/>
      <c r="BB57" s="760" t="s">
        <v>79</v>
      </c>
      <c r="BC57" s="761"/>
      <c r="BD57" s="13" t="s">
        <v>88</v>
      </c>
      <c r="BE57" s="758" t="s">
        <v>89</v>
      </c>
      <c r="BF57" s="759"/>
      <c r="BG57" s="45">
        <f>SUMIFS('F3 - Relevé du personnel'!$E$4:$E$281,'F3 - Relevé du personnel'!$D$4:$D$281,$BD57,'F3 - Relevé du personnel'!$C$4:$C$281,'F0 - Données générales'!$K$32)</f>
        <v>0</v>
      </c>
      <c r="BH57" s="259">
        <f>SUMIFS('F3 - Relevé du personnel'!$I$4:$I$281,'F3 - Relevé du personnel'!$D$4:$D$281,$BD57,'F3 - Relevé du personnel'!$C$4:$C$281,'F0 - Données générales'!$K$32)</f>
        <v>0</v>
      </c>
      <c r="BI57" s="259">
        <f>SUMIFS('F3 - Relevé du personnel'!$M$4:$M$281,'F3 - Relevé du personnel'!$D$4:$D$281,$BD57,'F3 - Relevé du personnel'!$C$4:$C$281,'F0 - Données générales'!$K$32)</f>
        <v>0</v>
      </c>
      <c r="BJ57" s="189">
        <f t="shared" si="33"/>
        <v>0</v>
      </c>
      <c r="BK57" s="259">
        <f>SUMIFS('F3 - Relevé du personnel'!$O$4:$O$281,'F3 - Relevé du personnel'!$D$4:$D$281,$BD57,'F3 - Relevé du personnel'!$C$4:$C$281,'F0 - Données générales'!$K$32)</f>
        <v>0</v>
      </c>
      <c r="BL57" s="259">
        <f>SUMIFS('F3 - Relevé du personnel'!$P$4:$P$281,'F3 - Relevé du personnel'!$D$4:$D$281,$BD57,'F3 - Relevé du personnel'!$C$4:$C$281,'F0 - Données générales'!$K$32)</f>
        <v>0</v>
      </c>
      <c r="BM57" s="259">
        <f>SUMIFS('F3 - Relevé du personnel'!$Q$4:$Q$281,'F3 - Relevé du personnel'!$D$4:$D$281,$BD57,'F3 - Relevé du personnel'!$C$4:$C$281,'F0 - Données générales'!$K$32)</f>
        <v>0</v>
      </c>
      <c r="BN57" s="48">
        <f t="shared" si="40"/>
        <v>0</v>
      </c>
      <c r="BO57" s="187" t="str">
        <f t="shared" si="35"/>
        <v/>
      </c>
      <c r="BP57" s="188" t="str">
        <f>IF(BG57=0,"",(SUMPRODUCT(($D$4:$D$253=BD57)*($C$4:$C$253='F0 - Données générales'!$K$32)*($E$4:$E$253)*($F$4:$F$253))+SUMPRODUCT(($D$257:$D$281=BD57)*($C$257:$C$281='F0 - Données générales'!$K$32)*($E$257:$E$281)*($F$257:$F$281)))/(SUMIFS('F3 - Relevé du personnel'!$E$4:$E$281,'F3 - Relevé du personnel'!$D$4:$D$281,$BD57,'F3 - Relevé du personnel'!$C$4:$C$281,'F0 - Données générales'!$K$32)))</f>
        <v/>
      </c>
      <c r="BQ57" s="171"/>
      <c r="BR57" s="170"/>
      <c r="BS57" s="257">
        <f t="shared" ref="BS57:BZ57" si="43">SUM(C304:C326)</f>
        <v>0</v>
      </c>
      <c r="BT57" s="258">
        <f t="shared" si="43"/>
        <v>0</v>
      </c>
      <c r="BU57" s="258">
        <f t="shared" si="43"/>
        <v>0</v>
      </c>
      <c r="BV57" s="258">
        <f t="shared" si="43"/>
        <v>0</v>
      </c>
      <c r="BW57" s="258">
        <f t="shared" si="43"/>
        <v>0</v>
      </c>
      <c r="BX57" s="258">
        <f t="shared" si="43"/>
        <v>0</v>
      </c>
      <c r="BY57" s="258">
        <f t="shared" si="43"/>
        <v>0</v>
      </c>
      <c r="BZ57" s="258">
        <f t="shared" si="43"/>
        <v>0</v>
      </c>
      <c r="CA57" s="258">
        <f>IF(BS57=0,0,BZ57/BS57)</f>
        <v>0</v>
      </c>
      <c r="CB57" s="258" t="e">
        <f>IF('F0 - Données générales'!$H$5="journalier",'F3 - Relevé du personnel'!BZ57/'F2 - Données facturation'!$Y$30,IF('F0 - Données générales'!$H$5="horaire",'F3 - Relevé du personnel'!BZ57/'F2 - Données facturation'!$AA$20,0))</f>
        <v>#DIV/0!</v>
      </c>
    </row>
    <row r="58" spans="1:80" ht="15" customHeight="1" x14ac:dyDescent="0.3">
      <c r="A58" s="106">
        <v>55</v>
      </c>
      <c r="B58" s="324">
        <f>'F0 - Données générales'!$C$4</f>
        <v>7</v>
      </c>
      <c r="C58" s="106" t="s">
        <v>95</v>
      </c>
      <c r="D58" s="106"/>
      <c r="E58" s="107"/>
      <c r="F58" s="108"/>
      <c r="G58" s="109"/>
      <c r="H58" s="110">
        <f t="shared" si="5"/>
        <v>0</v>
      </c>
      <c r="I58" s="177"/>
      <c r="J58" s="118" t="str">
        <f>IF(OR(D58="",F58=""),"",(((HLOOKUP(D58,'Carrières et points'!$A$20:$AD$60,F58+2,FALSE)*'Carrières et points'!$C$7*'Carrières et points'!$C$9)+(HLOOKUP(D58,'Carrières et points'!$A$20:$AD$60,F58+2,FALSE)*'Carrières et points'!$C$13*'Carrières et points'!$C$15))*(1+'F0 - Données générales'!$I$4)+((HLOOKUP(D58,'Carrières et points'!$A$20:$AD$60,F58+2,FALSE)*'Carrières et points'!$C$7*'Carrières et points'!$C$9)+(HLOOKUP(D58,'Carrières et points'!$A$20:$AD$60,F58+2,FALSE)*'Carrières et points'!$C$13*'Carrières et points'!$C$15))/12*(1+'F0 - Données générales'!$L$13))*E58)</f>
        <v/>
      </c>
      <c r="K58" s="118" t="str">
        <f t="shared" si="6"/>
        <v/>
      </c>
      <c r="L58" s="109"/>
      <c r="M58" s="177"/>
      <c r="N58" s="118" t="str">
        <f t="shared" si="0"/>
        <v/>
      </c>
      <c r="O58" s="177"/>
      <c r="P58" s="177"/>
      <c r="Q58" s="177"/>
      <c r="R58" s="255" t="str">
        <f t="shared" si="7"/>
        <v/>
      </c>
      <c r="S58" s="120"/>
      <c r="T58" s="742" t="s">
        <v>79</v>
      </c>
      <c r="U58" s="742"/>
      <c r="V58" s="26" t="s">
        <v>277</v>
      </c>
      <c r="W58" s="741"/>
      <c r="X58" s="741"/>
      <c r="Y58" s="181">
        <f>SUMIFS('F3 - Relevé du personnel'!$E$4:$E$281,'F3 - Relevé du personnel'!$D$4:$D$281,$V58,'F3 - Relevé du personnel'!$C$4:$C$281,'F0 - Données générales'!$K$31,'F3 - Relevé du personnel'!$B$4:$B$281,"8.1")</f>
        <v>0</v>
      </c>
      <c r="Z58" s="181">
        <f>SUMIFS('F3 - Relevé du personnel'!$H$4:$H$281,'F3 - Relevé du personnel'!$D$4:$D$281,$V58,'F3 - Relevé du personnel'!$C$4:$C$281,'F0 - Données générales'!$K$31,'F3 - Relevé du personnel'!$B$4:$B$281,"8.1")</f>
        <v>0</v>
      </c>
      <c r="AA58" s="256">
        <f>SUMIFS('F3 - Relevé du personnel'!$I$4:$I$281,'F3 - Relevé du personnel'!$D$4:$D$281,$V58,'F3 - Relevé du personnel'!$C$4:$C$281,'F0 - Données générales'!$K$31,'F3 - Relevé du personnel'!$B$4:$B$281,"8.1")</f>
        <v>0</v>
      </c>
      <c r="AB58" s="256">
        <f>SUMIFS('F3 - Relevé du personnel'!$M$4:$M$281,'F3 - Relevé du personnel'!$D$4:$D$281,$V58,'F3 - Relevé du personnel'!$C$4:$C$281,'F0 - Données générales'!$K$31,'F3 - Relevé du personnel'!$B$4:$B$281,"8.1")</f>
        <v>0</v>
      </c>
      <c r="AC58" s="196">
        <f t="shared" si="26"/>
        <v>0</v>
      </c>
      <c r="AD58" s="256">
        <f>SUMIFS('F3 - Relevé du personnel'!$O$4:$O$281,'F3 - Relevé du personnel'!$D$4:$D$281,$V58,'F3 - Relevé du personnel'!$C$4:$C$281,'F0 - Données générales'!$K$31,'F3 - Relevé du personnel'!$B$4:$B$281,"8.1")</f>
        <v>0</v>
      </c>
      <c r="AE58" s="256">
        <f>SUMIFS('F3 - Relevé du personnel'!$P$4:$P$281,'F3 - Relevé du personnel'!$D$4:$D$281,$V58,'F3 - Relevé du personnel'!$C$4:$C$281,'F0 - Données générales'!$K$31,'F3 - Relevé du personnel'!$B$4:$B$281,"8.1")</f>
        <v>0</v>
      </c>
      <c r="AF58" s="256">
        <f>SUMIFS('F3 - Relevé du personnel'!$Q$4:$Q$281,'F3 - Relevé du personnel'!$D$4:$D$281,$V58,'F3 - Relevé du personnel'!$C$4:$C$281,'F0 - Données générales'!$K$31,'F3 - Relevé du personnel'!$B$4:$B$281,"8.1")</f>
        <v>0</v>
      </c>
      <c r="AG58" s="182">
        <f t="shared" si="27"/>
        <v>0</v>
      </c>
      <c r="AH58" s="197" t="str">
        <f t="shared" si="28"/>
        <v/>
      </c>
      <c r="AI58" s="198" t="str">
        <f>IF(Y58=0,"",(SUMPRODUCT(($D$4:$D$253=V58)*($C$4:$C$253='F0 - Données générales'!$K$31)*($E$4:$E$253)*($F$4:$F$253)*($B$4:$B$253="8.1"))+SUMPRODUCT(($D$257:$D$281=V58)*($C$257:$C$281='F0 - Données générales'!$K$31)*($B$257:$B$281="8.1")*($E$257:$E$281)*($F$257:$F$281)))/(SUMIFS('F3 - Relevé du personnel'!$E$4:$E$281,'F3 - Relevé du personnel'!$D$4:$D$281,$V58,'F3 - Relevé du personnel'!$C$4:$C$281,'F0 - Données générales'!$K$31,'F3 - Relevé du personnel'!$B$4:$B$281,"8.1")))</f>
        <v/>
      </c>
      <c r="AJ58" s="120"/>
      <c r="AK58" s="742" t="s">
        <v>79</v>
      </c>
      <c r="AL58" s="742"/>
      <c r="AM58" s="26" t="s">
        <v>277</v>
      </c>
      <c r="AN58" s="741"/>
      <c r="AO58" s="741"/>
      <c r="AP58" s="181">
        <f>SUMIFS('F3 - Relevé du personnel'!$E$4:$E$281,'F3 - Relevé du personnel'!$D$4:$D$281,$AM58,'F3 - Relevé du personnel'!$C$4:$C$281,'F0 - Données générales'!$K$31,'F3 - Relevé du personnel'!$B$4:$B$281,"psycho")</f>
        <v>0</v>
      </c>
      <c r="AQ58" s="181">
        <f>SUMIFS('F3 - Relevé du personnel'!$H$4:$H$281,'F3 - Relevé du personnel'!$D$4:$D$281,$AM58,'F3 - Relevé du personnel'!$C$4:$C$281,'F0 - Données générales'!$K$31,'F3 - Relevé du personnel'!$B$4:$B$281,"psycho")</f>
        <v>0</v>
      </c>
      <c r="AR58" s="256">
        <f>SUMIFS('F3 - Relevé du personnel'!$I$4:$I$281,'F3 - Relevé du personnel'!$D$4:$D$281,$AM58,'F3 - Relevé du personnel'!$C$4:$C$281,'F0 - Données générales'!$K$31,'F3 - Relevé du personnel'!$B$4:$B$281,"psycho")</f>
        <v>0</v>
      </c>
      <c r="AS58" s="256">
        <f>SUMIFS('F3 - Relevé du personnel'!$M$4:$M$281,'F3 - Relevé du personnel'!$D$4:$D$281,$AM58,'F3 - Relevé du personnel'!$C$4:$C$281,'F0 - Données générales'!$K$31,'F3 - Relevé du personnel'!$B$4:$B$281,"psycho")</f>
        <v>0</v>
      </c>
      <c r="AT58" s="196">
        <f t="shared" si="41"/>
        <v>0</v>
      </c>
      <c r="AU58" s="256">
        <f>SUMIFS('F3 - Relevé du personnel'!$O$4:$O$281,'F3 - Relevé du personnel'!$D$4:$D$281,$AM58,'F3 - Relevé du personnel'!$C$4:$C$281,'F0 - Données générales'!$K$31,'F3 - Relevé du personnel'!$B$4:$B$281,"psycho")</f>
        <v>0</v>
      </c>
      <c r="AV58" s="256">
        <f>SUMIFS('F3 - Relevé du personnel'!$P$4:$P$281,'F3 - Relevé du personnel'!$D$4:$D$281,$AM58,'F3 - Relevé du personnel'!$C$4:$C$281,'F0 - Données générales'!$K$31,'F3 - Relevé du personnel'!$B$4:$B$281,"psycho")</f>
        <v>0</v>
      </c>
      <c r="AW58" s="256">
        <f>SUMIFS('F3 - Relevé du personnel'!$Q$4:$Q$281,'F3 - Relevé du personnel'!$D$4:$D$281,$AM58,'F3 - Relevé du personnel'!$C$4:$C$281,'F0 - Données générales'!$K$31,'F3 - Relevé du personnel'!$B$4:$B$281,"psycho")</f>
        <v>0</v>
      </c>
      <c r="AX58" s="182">
        <f t="shared" si="42"/>
        <v>0</v>
      </c>
      <c r="AY58" s="197" t="str">
        <f t="shared" si="36"/>
        <v/>
      </c>
      <c r="AZ58" s="198" t="str">
        <f>IF(AP58=0,"",(SUMPRODUCT(($D$4:$D$253=AM58)*($C$4:$C$253='F0 - Données générales'!$K$31)*($E$4:$E$253)*($F$4:$F$253)*($B$4:$B$253="psycho"))+SUMPRODUCT(($D$257:$D$281=AM58)*($C$257:$C$281='F0 - Données générales'!$K$31)*($B$257:$B$281="psycho")*($E$257:$E$281)*($F$257:$F$281)))/(SUMIFS('F3 - Relevé du personnel'!$E$4:$E$281,'F3 - Relevé du personnel'!$D$4:$D$281,$AM58,'F3 - Relevé du personnel'!$C$4:$C$281,'F0 - Données générales'!$K$31,'F3 - Relevé du personnel'!$B$4:$B$281,"psycho")))</f>
        <v/>
      </c>
      <c r="BA58" s="120"/>
      <c r="BB58" s="760" t="s">
        <v>79</v>
      </c>
      <c r="BC58" s="761"/>
      <c r="BD58" s="13" t="s">
        <v>90</v>
      </c>
      <c r="BE58" s="758" t="s">
        <v>91</v>
      </c>
      <c r="BF58" s="759"/>
      <c r="BG58" s="45">
        <f>SUMIFS('F3 - Relevé du personnel'!$E$4:$E$281,'F3 - Relevé du personnel'!$D$4:$D$281,$BD58,'F3 - Relevé du personnel'!$C$4:$C$281,'F0 - Données générales'!$K$32)</f>
        <v>0</v>
      </c>
      <c r="BH58" s="259">
        <f>SUMIFS('F3 - Relevé du personnel'!$I$4:$I$281,'F3 - Relevé du personnel'!$D$4:$D$281,$BD58,'F3 - Relevé du personnel'!$C$4:$C$281,'F0 - Données générales'!$K$32)</f>
        <v>0</v>
      </c>
      <c r="BI58" s="259">
        <f>SUMIFS('F3 - Relevé du personnel'!$M$4:$M$281,'F3 - Relevé du personnel'!$D$4:$D$281,$BD58,'F3 - Relevé du personnel'!$C$4:$C$281,'F0 - Données générales'!$K$32)</f>
        <v>0</v>
      </c>
      <c r="BJ58" s="189">
        <f t="shared" si="33"/>
        <v>0</v>
      </c>
      <c r="BK58" s="259">
        <f>SUMIFS('F3 - Relevé du personnel'!$O$4:$O$281,'F3 - Relevé du personnel'!$D$4:$D$281,$BD58,'F3 - Relevé du personnel'!$C$4:$C$281,'F0 - Données générales'!$K$32)</f>
        <v>0</v>
      </c>
      <c r="BL58" s="259">
        <f>SUMIFS('F3 - Relevé du personnel'!$P$4:$P$281,'F3 - Relevé du personnel'!$D$4:$D$281,$BD58,'F3 - Relevé du personnel'!$C$4:$C$281,'F0 - Données générales'!$K$32)</f>
        <v>0</v>
      </c>
      <c r="BM58" s="259">
        <f>SUMIFS('F3 - Relevé du personnel'!$Q$4:$Q$281,'F3 - Relevé du personnel'!$D$4:$D$281,$BD58,'F3 - Relevé du personnel'!$C$4:$C$281,'F0 - Données générales'!$K$32)</f>
        <v>0</v>
      </c>
      <c r="BN58" s="48">
        <f t="shared" si="40"/>
        <v>0</v>
      </c>
      <c r="BO58" s="187" t="str">
        <f t="shared" si="35"/>
        <v/>
      </c>
      <c r="BP58" s="188" t="str">
        <f>IF(BG58=0,"",(SUMPRODUCT(($D$4:$D$253=BD58)*($C$4:$C$253='F0 - Données générales'!$K$32)*($E$4:$E$253)*($F$4:$F$253))+SUMPRODUCT(($D$257:$D$281=BD58)*($C$257:$C$281='F0 - Données générales'!$K$32)*($E$257:$E$281)*($F$257:$F$281)))/(SUMIFS('F3 - Relevé du personnel'!$E$4:$E$281,'F3 - Relevé du personnel'!$D$4:$D$281,$BD58,'F3 - Relevé du personnel'!$C$4:$C$281,'F0 - Données générales'!$K$32)))</f>
        <v/>
      </c>
      <c r="BQ58" s="171"/>
      <c r="BR58" s="170"/>
    </row>
    <row r="59" spans="1:80" ht="15" customHeight="1" x14ac:dyDescent="0.3">
      <c r="A59" s="106">
        <v>56</v>
      </c>
      <c r="B59" s="324">
        <f>'F0 - Données générales'!$C$4</f>
        <v>7</v>
      </c>
      <c r="C59" s="106" t="s">
        <v>95</v>
      </c>
      <c r="D59" s="106"/>
      <c r="E59" s="107"/>
      <c r="F59" s="108"/>
      <c r="G59" s="109"/>
      <c r="H59" s="110">
        <f t="shared" si="5"/>
        <v>0</v>
      </c>
      <c r="I59" s="177"/>
      <c r="J59" s="118" t="str">
        <f>IF(OR(D59="",F59=""),"",(((HLOOKUP(D59,'Carrières et points'!$A$20:$AD$60,F59+2,FALSE)*'Carrières et points'!$C$7*'Carrières et points'!$C$9)+(HLOOKUP(D59,'Carrières et points'!$A$20:$AD$60,F59+2,FALSE)*'Carrières et points'!$C$13*'Carrières et points'!$C$15))*(1+'F0 - Données générales'!$I$4)+((HLOOKUP(D59,'Carrières et points'!$A$20:$AD$60,F59+2,FALSE)*'Carrières et points'!$C$7*'Carrières et points'!$C$9)+(HLOOKUP(D59,'Carrières et points'!$A$20:$AD$60,F59+2,FALSE)*'Carrières et points'!$C$13*'Carrières et points'!$C$15))/12*(1+'F0 - Données générales'!$L$13))*E59)</f>
        <v/>
      </c>
      <c r="K59" s="118" t="str">
        <f t="shared" si="6"/>
        <v/>
      </c>
      <c r="L59" s="109"/>
      <c r="M59" s="177"/>
      <c r="N59" s="118" t="str">
        <f t="shared" si="0"/>
        <v/>
      </c>
      <c r="O59" s="177"/>
      <c r="P59" s="177"/>
      <c r="Q59" s="177"/>
      <c r="R59" s="255" t="str">
        <f t="shared" si="7"/>
        <v/>
      </c>
      <c r="S59" s="120"/>
      <c r="T59" s="742" t="s">
        <v>65</v>
      </c>
      <c r="U59" s="742"/>
      <c r="V59" s="26" t="s">
        <v>278</v>
      </c>
      <c r="W59" s="741"/>
      <c r="X59" s="741"/>
      <c r="Y59" s="181">
        <f>SUMIFS('F3 - Relevé du personnel'!$E$4:$E$281,'F3 - Relevé du personnel'!$D$4:$D$281,$V59,'F3 - Relevé du personnel'!$C$4:$C$281,'F0 - Données générales'!$K$31,'F3 - Relevé du personnel'!$B$4:$B$281,"8.1")</f>
        <v>0</v>
      </c>
      <c r="Z59" s="181">
        <f>SUMIFS('F3 - Relevé du personnel'!$H$4:$H$281,'F3 - Relevé du personnel'!$D$4:$D$281,$V59,'F3 - Relevé du personnel'!$C$4:$C$281,'F0 - Données générales'!$K$31,'F3 - Relevé du personnel'!$B$4:$B$281,"8.1")</f>
        <v>0</v>
      </c>
      <c r="AA59" s="256">
        <f>SUMIFS('F3 - Relevé du personnel'!$I$4:$I$281,'F3 - Relevé du personnel'!$D$4:$D$281,$V59,'F3 - Relevé du personnel'!$C$4:$C$281,'F0 - Données générales'!$K$31,'F3 - Relevé du personnel'!$B$4:$B$281,"8.1")</f>
        <v>0</v>
      </c>
      <c r="AB59" s="256">
        <f>SUMIFS('F3 - Relevé du personnel'!$M$4:$M$281,'F3 - Relevé du personnel'!$D$4:$D$281,$V59,'F3 - Relevé du personnel'!$C$4:$C$281,'F0 - Données générales'!$K$31,'F3 - Relevé du personnel'!$B$4:$B$281,"8.1")</f>
        <v>0</v>
      </c>
      <c r="AC59" s="196">
        <f t="shared" si="26"/>
        <v>0</v>
      </c>
      <c r="AD59" s="256">
        <f>SUMIFS('F3 - Relevé du personnel'!$O$4:$O$281,'F3 - Relevé du personnel'!$D$4:$D$281,$V59,'F3 - Relevé du personnel'!$C$4:$C$281,'F0 - Données générales'!$K$31,'F3 - Relevé du personnel'!$B$4:$B$281,"8.1")</f>
        <v>0</v>
      </c>
      <c r="AE59" s="256">
        <f>SUMIFS('F3 - Relevé du personnel'!$P$4:$P$281,'F3 - Relevé du personnel'!$D$4:$D$281,$V59,'F3 - Relevé du personnel'!$C$4:$C$281,'F0 - Données générales'!$K$31,'F3 - Relevé du personnel'!$B$4:$B$281,"8.1")</f>
        <v>0</v>
      </c>
      <c r="AF59" s="256">
        <f>SUMIFS('F3 - Relevé du personnel'!$Q$4:$Q$281,'F3 - Relevé du personnel'!$D$4:$D$281,$V59,'F3 - Relevé du personnel'!$C$4:$C$281,'F0 - Données générales'!$K$31,'F3 - Relevé du personnel'!$B$4:$B$281,"8.1")</f>
        <v>0</v>
      </c>
      <c r="AG59" s="182">
        <f t="shared" si="27"/>
        <v>0</v>
      </c>
      <c r="AH59" s="197" t="str">
        <f t="shared" si="28"/>
        <v/>
      </c>
      <c r="AI59" s="198" t="str">
        <f>IF(Y59=0,"",(SUMPRODUCT(($D$4:$D$253=V59)*($C$4:$C$253='F0 - Données générales'!$K$31)*($E$4:$E$253)*($F$4:$F$253)*($B$4:$B$253="8.1"))+SUMPRODUCT(($D$257:$D$281=V59)*($C$257:$C$281='F0 - Données générales'!$K$31)*($B$257:$B$281="8.1")*($E$257:$E$281)*($F$257:$F$281)))/(SUMIFS('F3 - Relevé du personnel'!$E$4:$E$281,'F3 - Relevé du personnel'!$D$4:$D$281,$V59,'F3 - Relevé du personnel'!$C$4:$C$281,'F0 - Données générales'!$K$31,'F3 - Relevé du personnel'!$B$4:$B$281,"8.1")))</f>
        <v/>
      </c>
      <c r="AJ59" s="120"/>
      <c r="AK59" s="742" t="s">
        <v>65</v>
      </c>
      <c r="AL59" s="742"/>
      <c r="AM59" s="26" t="s">
        <v>278</v>
      </c>
      <c r="AN59" s="741"/>
      <c r="AO59" s="741"/>
      <c r="AP59" s="181">
        <f>SUMIFS('F3 - Relevé du personnel'!$E$4:$E$281,'F3 - Relevé du personnel'!$D$4:$D$281,$AM59,'F3 - Relevé du personnel'!$C$4:$C$281,'F0 - Données générales'!$K$31,'F3 - Relevé du personnel'!$B$4:$B$281,"psycho")</f>
        <v>0</v>
      </c>
      <c r="AQ59" s="181">
        <f>SUMIFS('F3 - Relevé du personnel'!$H$4:$H$281,'F3 - Relevé du personnel'!$D$4:$D$281,$AM59,'F3 - Relevé du personnel'!$C$4:$C$281,'F0 - Données générales'!$K$31,'F3 - Relevé du personnel'!$B$4:$B$281,"psycho")</f>
        <v>0</v>
      </c>
      <c r="AR59" s="256">
        <f>SUMIFS('F3 - Relevé du personnel'!$I$4:$I$281,'F3 - Relevé du personnel'!$D$4:$D$281,$AM59,'F3 - Relevé du personnel'!$C$4:$C$281,'F0 - Données générales'!$K$31,'F3 - Relevé du personnel'!$B$4:$B$281,"psycho")</f>
        <v>0</v>
      </c>
      <c r="AS59" s="256">
        <f>SUMIFS('F3 - Relevé du personnel'!$M$4:$M$281,'F3 - Relevé du personnel'!$D$4:$D$281,$AM59,'F3 - Relevé du personnel'!$C$4:$C$281,'F0 - Données générales'!$K$31,'F3 - Relevé du personnel'!$B$4:$B$281,"psycho")</f>
        <v>0</v>
      </c>
      <c r="AT59" s="196">
        <f t="shared" si="41"/>
        <v>0</v>
      </c>
      <c r="AU59" s="256">
        <f>SUMIFS('F3 - Relevé du personnel'!$O$4:$O$281,'F3 - Relevé du personnel'!$D$4:$D$281,$AM59,'F3 - Relevé du personnel'!$C$4:$C$281,'F0 - Données générales'!$K$31,'F3 - Relevé du personnel'!$B$4:$B$281,"psycho")</f>
        <v>0</v>
      </c>
      <c r="AV59" s="256">
        <f>SUMIFS('F3 - Relevé du personnel'!$P$4:$P$281,'F3 - Relevé du personnel'!$D$4:$D$281,$AM59,'F3 - Relevé du personnel'!$C$4:$C$281,'F0 - Données générales'!$K$31,'F3 - Relevé du personnel'!$B$4:$B$281,"psycho")</f>
        <v>0</v>
      </c>
      <c r="AW59" s="256">
        <f>SUMIFS('F3 - Relevé du personnel'!$Q$4:$Q$281,'F3 - Relevé du personnel'!$D$4:$D$281,$AM59,'F3 - Relevé du personnel'!$C$4:$C$281,'F0 - Données générales'!$K$31,'F3 - Relevé du personnel'!$B$4:$B$281,"psycho")</f>
        <v>0</v>
      </c>
      <c r="AX59" s="182">
        <f t="shared" si="42"/>
        <v>0</v>
      </c>
      <c r="AY59" s="197" t="str">
        <f t="shared" si="36"/>
        <v/>
      </c>
      <c r="AZ59" s="198" t="str">
        <f>IF(AP59=0,"",(SUMPRODUCT(($D$4:$D$253=AM59)*($C$4:$C$253='F0 - Données générales'!$K$31)*($E$4:$E$253)*($F$4:$F$253)*($B$4:$B$253="psycho"))+SUMPRODUCT(($D$257:$D$281=AM59)*($C$257:$C$281='F0 - Données générales'!$K$31)*($B$257:$B$281="psycho")*($E$257:$E$281)*($F$257:$F$281)))/(SUMIFS('F3 - Relevé du personnel'!$E$4:$E$281,'F3 - Relevé du personnel'!$D$4:$D$281,$AM59,'F3 - Relevé du personnel'!$C$4:$C$281,'F0 - Données générales'!$K$31,'F3 - Relevé du personnel'!$B$4:$B$281,"psycho")))</f>
        <v/>
      </c>
      <c r="BA59" s="120"/>
      <c r="BB59" s="762"/>
      <c r="BC59" s="763"/>
      <c r="BD59" s="777" t="s">
        <v>166</v>
      </c>
      <c r="BE59" s="778"/>
      <c r="BF59" s="779"/>
      <c r="BG59" s="190">
        <f>SUM(BG53:BG58)</f>
        <v>0</v>
      </c>
      <c r="BH59" s="191">
        <f>SUM(BH53:BH58)</f>
        <v>0</v>
      </c>
      <c r="BI59" s="191">
        <f>SUM(BI53:BI58)</f>
        <v>0</v>
      </c>
      <c r="BJ59" s="191">
        <f t="shared" si="33"/>
        <v>0</v>
      </c>
      <c r="BK59" s="191">
        <f>SUM(BK53:BK58)</f>
        <v>0</v>
      </c>
      <c r="BL59" s="191">
        <f>SUM(BL53:BL58)</f>
        <v>0</v>
      </c>
      <c r="BM59" s="191">
        <f>SUM(BM53:BM58)</f>
        <v>0</v>
      </c>
      <c r="BN59" s="192">
        <f>BH59+BI59-SUM(BK59:BM59)</f>
        <v>0</v>
      </c>
      <c r="BO59" s="192" t="str">
        <f t="shared" si="35"/>
        <v/>
      </c>
      <c r="BP59" s="193"/>
      <c r="BQ59" s="171"/>
      <c r="BR59" s="170"/>
    </row>
    <row r="60" spans="1:80" ht="15" customHeight="1" x14ac:dyDescent="0.3">
      <c r="A60" s="106">
        <v>57</v>
      </c>
      <c r="B60" s="324">
        <f>'F0 - Données générales'!$C$4</f>
        <v>7</v>
      </c>
      <c r="C60" s="106" t="s">
        <v>95</v>
      </c>
      <c r="D60" s="106"/>
      <c r="E60" s="107"/>
      <c r="F60" s="108"/>
      <c r="G60" s="109"/>
      <c r="H60" s="110">
        <f t="shared" si="5"/>
        <v>0</v>
      </c>
      <c r="I60" s="177"/>
      <c r="J60" s="118" t="str">
        <f>IF(OR(D60="",F60=""),"",(((HLOOKUP(D60,'Carrières et points'!$A$20:$AD$60,F60+2,FALSE)*'Carrières et points'!$C$7*'Carrières et points'!$C$9)+(HLOOKUP(D60,'Carrières et points'!$A$20:$AD$60,F60+2,FALSE)*'Carrières et points'!$C$13*'Carrières et points'!$C$15))*(1+'F0 - Données générales'!$I$4)+((HLOOKUP(D60,'Carrières et points'!$A$20:$AD$60,F60+2,FALSE)*'Carrières et points'!$C$7*'Carrières et points'!$C$9)+(HLOOKUP(D60,'Carrières et points'!$A$20:$AD$60,F60+2,FALSE)*'Carrières et points'!$C$13*'Carrières et points'!$C$15))/12*(1+'F0 - Données générales'!$L$13))*E60)</f>
        <v/>
      </c>
      <c r="K60" s="118" t="str">
        <f t="shared" si="6"/>
        <v/>
      </c>
      <c r="L60" s="109"/>
      <c r="M60" s="177"/>
      <c r="N60" s="118" t="str">
        <f t="shared" si="0"/>
        <v/>
      </c>
      <c r="O60" s="177"/>
      <c r="P60" s="177"/>
      <c r="Q60" s="177"/>
      <c r="R60" s="255" t="str">
        <f t="shared" si="7"/>
        <v/>
      </c>
      <c r="S60" s="120"/>
      <c r="T60" s="742" t="s">
        <v>79</v>
      </c>
      <c r="U60" s="742"/>
      <c r="V60" s="26" t="s">
        <v>279</v>
      </c>
      <c r="W60" s="741"/>
      <c r="X60" s="741"/>
      <c r="Y60" s="181">
        <f>SUMIFS('F3 - Relevé du personnel'!$E$4:$E$281,'F3 - Relevé du personnel'!$D$4:$D$281,$V60,'F3 - Relevé du personnel'!$C$4:$C$281,'F0 - Données générales'!$K$31,'F3 - Relevé du personnel'!$B$4:$B$281,"8.1")</f>
        <v>0</v>
      </c>
      <c r="Z60" s="181">
        <f>SUMIFS('F3 - Relevé du personnel'!$H$4:$H$281,'F3 - Relevé du personnel'!$D$4:$D$281,$V60,'F3 - Relevé du personnel'!$C$4:$C$281,'F0 - Données générales'!$K$31,'F3 - Relevé du personnel'!$B$4:$B$281,"8.1")</f>
        <v>0</v>
      </c>
      <c r="AA60" s="256">
        <f>SUMIFS('F3 - Relevé du personnel'!$I$4:$I$281,'F3 - Relevé du personnel'!$D$4:$D$281,$V60,'F3 - Relevé du personnel'!$C$4:$C$281,'F0 - Données générales'!$K$31,'F3 - Relevé du personnel'!$B$4:$B$281,"8.1")</f>
        <v>0</v>
      </c>
      <c r="AB60" s="256">
        <f>SUMIFS('F3 - Relevé du personnel'!$M$4:$M$281,'F3 - Relevé du personnel'!$D$4:$D$281,$V60,'F3 - Relevé du personnel'!$C$4:$C$281,'F0 - Données générales'!$K$31,'F3 - Relevé du personnel'!$B$4:$B$281,"8.1")</f>
        <v>0</v>
      </c>
      <c r="AC60" s="196">
        <f t="shared" si="26"/>
        <v>0</v>
      </c>
      <c r="AD60" s="256">
        <f>SUMIFS('F3 - Relevé du personnel'!$O$4:$O$281,'F3 - Relevé du personnel'!$D$4:$D$281,$V60,'F3 - Relevé du personnel'!$C$4:$C$281,'F0 - Données générales'!$K$31,'F3 - Relevé du personnel'!$B$4:$B$281,"8.1")</f>
        <v>0</v>
      </c>
      <c r="AE60" s="256">
        <f>SUMIFS('F3 - Relevé du personnel'!$P$4:$P$281,'F3 - Relevé du personnel'!$D$4:$D$281,$V60,'F3 - Relevé du personnel'!$C$4:$C$281,'F0 - Données générales'!$K$31,'F3 - Relevé du personnel'!$B$4:$B$281,"8.1")</f>
        <v>0</v>
      </c>
      <c r="AF60" s="256">
        <f>SUMIFS('F3 - Relevé du personnel'!$Q$4:$Q$281,'F3 - Relevé du personnel'!$D$4:$D$281,$V60,'F3 - Relevé du personnel'!$C$4:$C$281,'F0 - Données générales'!$K$31,'F3 - Relevé du personnel'!$B$4:$B$281,"8.1")</f>
        <v>0</v>
      </c>
      <c r="AG60" s="182">
        <f t="shared" si="27"/>
        <v>0</v>
      </c>
      <c r="AH60" s="197" t="str">
        <f t="shared" si="28"/>
        <v/>
      </c>
      <c r="AI60" s="198" t="str">
        <f>IF(Y60=0,"",(SUMPRODUCT(($D$4:$D$253=V60)*($C$4:$C$253='F0 - Données générales'!$K$31)*($E$4:$E$253)*($F$4:$F$253)*($B$4:$B$253="8.1"))+SUMPRODUCT(($D$257:$D$281=V60)*($C$257:$C$281='F0 - Données générales'!$K$31)*($B$257:$B$281="8.1")*($E$257:$E$281)*($F$257:$F$281)))/(SUMIFS('F3 - Relevé du personnel'!$E$4:$E$281,'F3 - Relevé du personnel'!$D$4:$D$281,$V60,'F3 - Relevé du personnel'!$C$4:$C$281,'F0 - Données générales'!$K$31,'F3 - Relevé du personnel'!$B$4:$B$281,"8.1")))</f>
        <v/>
      </c>
      <c r="AJ60" s="120"/>
      <c r="AK60" s="742" t="s">
        <v>79</v>
      </c>
      <c r="AL60" s="742"/>
      <c r="AM60" s="26" t="s">
        <v>279</v>
      </c>
      <c r="AN60" s="741"/>
      <c r="AO60" s="741"/>
      <c r="AP60" s="181">
        <f>SUMIFS('F3 - Relevé du personnel'!$E$4:$E$281,'F3 - Relevé du personnel'!$D$4:$D$281,$AM60,'F3 - Relevé du personnel'!$C$4:$C$281,'F0 - Données générales'!$K$31,'F3 - Relevé du personnel'!$B$4:$B$281,"psycho")</f>
        <v>0</v>
      </c>
      <c r="AQ60" s="181">
        <f>SUMIFS('F3 - Relevé du personnel'!$H$4:$H$281,'F3 - Relevé du personnel'!$D$4:$D$281,$AM60,'F3 - Relevé du personnel'!$C$4:$C$281,'F0 - Données générales'!$K$31,'F3 - Relevé du personnel'!$B$4:$B$281,"psycho")</f>
        <v>0</v>
      </c>
      <c r="AR60" s="256">
        <f>SUMIFS('F3 - Relevé du personnel'!$I$4:$I$281,'F3 - Relevé du personnel'!$D$4:$D$281,$AM60,'F3 - Relevé du personnel'!$C$4:$C$281,'F0 - Données générales'!$K$31,'F3 - Relevé du personnel'!$B$4:$B$281,"psycho")</f>
        <v>0</v>
      </c>
      <c r="AS60" s="256">
        <f>SUMIFS('F3 - Relevé du personnel'!$M$4:$M$281,'F3 - Relevé du personnel'!$D$4:$D$281,$AM60,'F3 - Relevé du personnel'!$C$4:$C$281,'F0 - Données générales'!$K$31,'F3 - Relevé du personnel'!$B$4:$B$281,"psycho")</f>
        <v>0</v>
      </c>
      <c r="AT60" s="196">
        <f t="shared" si="41"/>
        <v>0</v>
      </c>
      <c r="AU60" s="256">
        <f>SUMIFS('F3 - Relevé du personnel'!$O$4:$O$281,'F3 - Relevé du personnel'!$D$4:$D$281,$AM60,'F3 - Relevé du personnel'!$C$4:$C$281,'F0 - Données générales'!$K$31,'F3 - Relevé du personnel'!$B$4:$B$281,"psycho")</f>
        <v>0</v>
      </c>
      <c r="AV60" s="256">
        <f>SUMIFS('F3 - Relevé du personnel'!$P$4:$P$281,'F3 - Relevé du personnel'!$D$4:$D$281,$AM60,'F3 - Relevé du personnel'!$C$4:$C$281,'F0 - Données générales'!$K$31,'F3 - Relevé du personnel'!$B$4:$B$281,"psycho")</f>
        <v>0</v>
      </c>
      <c r="AW60" s="256">
        <f>SUMIFS('F3 - Relevé du personnel'!$Q$4:$Q$281,'F3 - Relevé du personnel'!$D$4:$D$281,$AM60,'F3 - Relevé du personnel'!$C$4:$C$281,'F0 - Données générales'!$K$31,'F3 - Relevé du personnel'!$B$4:$B$281,"psycho")</f>
        <v>0</v>
      </c>
      <c r="AX60" s="182">
        <f t="shared" si="42"/>
        <v>0</v>
      </c>
      <c r="AY60" s="197" t="str">
        <f t="shared" si="36"/>
        <v/>
      </c>
      <c r="AZ60" s="198" t="str">
        <f>IF(AP60=0,"",(SUMPRODUCT(($D$4:$D$253=AM60)*($C$4:$C$253='F0 - Données générales'!$K$31)*($E$4:$E$253)*($F$4:$F$253)*($B$4:$B$253="psycho"))+SUMPRODUCT(($D$257:$D$281=AM60)*($C$257:$C$281='F0 - Données générales'!$K$31)*($B$257:$B$281="psycho")*($E$257:$E$281)*($F$257:$F$281)))/(SUMIFS('F3 - Relevé du personnel'!$E$4:$E$281,'F3 - Relevé du personnel'!$D$4:$D$281,$AM60,'F3 - Relevé du personnel'!$C$4:$C$281,'F0 - Données générales'!$K$31,'F3 - Relevé du personnel'!$B$4:$B$281,"psycho")))</f>
        <v/>
      </c>
      <c r="BA60" s="120"/>
      <c r="BB60" s="760" t="s">
        <v>79</v>
      </c>
      <c r="BC60" s="761"/>
      <c r="BD60" s="13" t="s">
        <v>92</v>
      </c>
      <c r="BE60" s="758" t="s">
        <v>93</v>
      </c>
      <c r="BF60" s="759"/>
      <c r="BG60" s="45">
        <f>SUMIFS('F3 - Relevé du personnel'!$E$4:$E$281,'F3 - Relevé du personnel'!$D$4:$D$281,$BD60,'F3 - Relevé du personnel'!$C$4:$C$281,'F0 - Données générales'!$K$32)</f>
        <v>0</v>
      </c>
      <c r="BH60" s="259">
        <f>SUMIFS('F3 - Relevé du personnel'!$I$4:$I$281,'F3 - Relevé du personnel'!$D$4:$D$281,$BD60,'F3 - Relevé du personnel'!$C$4:$C$281,'F0 - Données générales'!$K$32)</f>
        <v>0</v>
      </c>
      <c r="BI60" s="259">
        <f>SUMIFS('F3 - Relevé du personnel'!$M$4:$M$281,'F3 - Relevé du personnel'!$D$4:$D$281,$BD60,'F3 - Relevé du personnel'!$C$4:$C$281,'F0 - Données générales'!$K$32)</f>
        <v>0</v>
      </c>
      <c r="BJ60" s="189">
        <f t="shared" si="33"/>
        <v>0</v>
      </c>
      <c r="BK60" s="259">
        <f>SUMIFS('F3 - Relevé du personnel'!$O$4:$O$281,'F3 - Relevé du personnel'!$D$4:$D$281,$BD60,'F3 - Relevé du personnel'!$C$4:$C$281,'F0 - Données générales'!$K$32)</f>
        <v>0</v>
      </c>
      <c r="BL60" s="259">
        <f>SUMIFS('F3 - Relevé du personnel'!$P$4:$P$281,'F3 - Relevé du personnel'!$D$4:$D$281,$BD60,'F3 - Relevé du personnel'!$C$4:$C$281,'F0 - Données générales'!$K$32)</f>
        <v>0</v>
      </c>
      <c r="BM60" s="259">
        <f>SUMIFS('F3 - Relevé du personnel'!$Q$4:$Q$281,'F3 - Relevé du personnel'!$D$4:$D$281,$BD60,'F3 - Relevé du personnel'!$C$4:$C$281,'F0 - Données générales'!$K$32)</f>
        <v>0</v>
      </c>
      <c r="BN60" s="48">
        <f>BH60+BI60-SUM(BK60:BM60)</f>
        <v>0</v>
      </c>
      <c r="BO60" s="187" t="str">
        <f t="shared" si="35"/>
        <v/>
      </c>
      <c r="BP60" s="188" t="str">
        <f>IF(BG60=0,"",(SUMPRODUCT(($D$4:$D$253=BD60)*($C$4:$C$253='F0 - Données générales'!$K$32)*($E$4:$E$253)*($F$4:$F$253))+SUMPRODUCT(($D$257:$D$281=BD60)*($C$257:$C$281='F0 - Données générales'!$K$32)*($E$257:$E$281)*($F$257:$F$281)))/(SUMIFS('F3 - Relevé du personnel'!$E$4:$E$281,'F3 - Relevé du personnel'!$D$4:$D$281,$BD60,'F3 - Relevé du personnel'!$C$4:$C$281,'F0 - Données générales'!$K$32)))</f>
        <v/>
      </c>
      <c r="BQ60" s="171"/>
      <c r="BR60" s="170"/>
    </row>
    <row r="61" spans="1:80" ht="15" customHeight="1" x14ac:dyDescent="0.3">
      <c r="A61" s="106">
        <v>58</v>
      </c>
      <c r="B61" s="324">
        <f>'F0 - Données générales'!$C$4</f>
        <v>7</v>
      </c>
      <c r="C61" s="106" t="s">
        <v>95</v>
      </c>
      <c r="D61" s="106"/>
      <c r="E61" s="107"/>
      <c r="F61" s="108"/>
      <c r="G61" s="109"/>
      <c r="H61" s="110">
        <f t="shared" si="5"/>
        <v>0</v>
      </c>
      <c r="I61" s="177"/>
      <c r="J61" s="118" t="str">
        <f>IF(OR(D61="",F61=""),"",(((HLOOKUP(D61,'Carrières et points'!$A$20:$AD$60,F61+2,FALSE)*'Carrières et points'!$C$7*'Carrières et points'!$C$9)+(HLOOKUP(D61,'Carrières et points'!$A$20:$AD$60,F61+2,FALSE)*'Carrières et points'!$C$13*'Carrières et points'!$C$15))*(1+'F0 - Données générales'!$I$4)+((HLOOKUP(D61,'Carrières et points'!$A$20:$AD$60,F61+2,FALSE)*'Carrières et points'!$C$7*'Carrières et points'!$C$9)+(HLOOKUP(D61,'Carrières et points'!$A$20:$AD$60,F61+2,FALSE)*'Carrières et points'!$C$13*'Carrières et points'!$C$15))/12*(1+'F0 - Données générales'!$L$13))*E61)</f>
        <v/>
      </c>
      <c r="K61" s="118" t="str">
        <f t="shared" si="6"/>
        <v/>
      </c>
      <c r="L61" s="109"/>
      <c r="M61" s="177"/>
      <c r="N61" s="118" t="str">
        <f t="shared" si="0"/>
        <v/>
      </c>
      <c r="O61" s="177"/>
      <c r="P61" s="177"/>
      <c r="Q61" s="177"/>
      <c r="R61" s="255" t="str">
        <f t="shared" si="7"/>
        <v/>
      </c>
      <c r="S61" s="120"/>
      <c r="T61" s="742" t="s">
        <v>65</v>
      </c>
      <c r="U61" s="742"/>
      <c r="V61" s="26" t="s">
        <v>280</v>
      </c>
      <c r="W61" s="741"/>
      <c r="X61" s="741"/>
      <c r="Y61" s="181">
        <f>SUMIFS('F3 - Relevé du personnel'!$E$4:$E$281,'F3 - Relevé du personnel'!$D$4:$D$281,$V61,'F3 - Relevé du personnel'!$C$4:$C$281,'F0 - Données générales'!$K$31,'F3 - Relevé du personnel'!$B$4:$B$281,"8.1")</f>
        <v>0</v>
      </c>
      <c r="Z61" s="181">
        <f>SUMIFS('F3 - Relevé du personnel'!$H$4:$H$281,'F3 - Relevé du personnel'!$D$4:$D$281,$V61,'F3 - Relevé du personnel'!$C$4:$C$281,'F0 - Données générales'!$K$31,'F3 - Relevé du personnel'!$B$4:$B$281,"8.1")</f>
        <v>0</v>
      </c>
      <c r="AA61" s="256">
        <f>SUMIFS('F3 - Relevé du personnel'!$I$4:$I$281,'F3 - Relevé du personnel'!$D$4:$D$281,$V61,'F3 - Relevé du personnel'!$C$4:$C$281,'F0 - Données générales'!$K$31,'F3 - Relevé du personnel'!$B$4:$B$281,"8.1")</f>
        <v>0</v>
      </c>
      <c r="AB61" s="256">
        <f>SUMIFS('F3 - Relevé du personnel'!$M$4:$M$281,'F3 - Relevé du personnel'!$D$4:$D$281,$V61,'F3 - Relevé du personnel'!$C$4:$C$281,'F0 - Données générales'!$K$31,'F3 - Relevé du personnel'!$B$4:$B$281,"8.1")</f>
        <v>0</v>
      </c>
      <c r="AC61" s="196">
        <f t="shared" si="26"/>
        <v>0</v>
      </c>
      <c r="AD61" s="256">
        <f>SUMIFS('F3 - Relevé du personnel'!$O$4:$O$281,'F3 - Relevé du personnel'!$D$4:$D$281,$V61,'F3 - Relevé du personnel'!$C$4:$C$281,'F0 - Données générales'!$K$31,'F3 - Relevé du personnel'!$B$4:$B$281,"8.1")</f>
        <v>0</v>
      </c>
      <c r="AE61" s="256">
        <f>SUMIFS('F3 - Relevé du personnel'!$P$4:$P$281,'F3 - Relevé du personnel'!$D$4:$D$281,$V61,'F3 - Relevé du personnel'!$C$4:$C$281,'F0 - Données générales'!$K$31,'F3 - Relevé du personnel'!$B$4:$B$281,"8.1")</f>
        <v>0</v>
      </c>
      <c r="AF61" s="256">
        <f>SUMIFS('F3 - Relevé du personnel'!$Q$4:$Q$281,'F3 - Relevé du personnel'!$D$4:$D$281,$V61,'F3 - Relevé du personnel'!$C$4:$C$281,'F0 - Données générales'!$K$31,'F3 - Relevé du personnel'!$B$4:$B$281,"8.1")</f>
        <v>0</v>
      </c>
      <c r="AG61" s="182">
        <f t="shared" si="27"/>
        <v>0</v>
      </c>
      <c r="AH61" s="197" t="str">
        <f t="shared" si="28"/>
        <v/>
      </c>
      <c r="AI61" s="198" t="str">
        <f>IF(Y61=0,"",(SUMPRODUCT(($D$4:$D$253=V61)*($C$4:$C$253='F0 - Données générales'!$K$31)*($E$4:$E$253)*($F$4:$F$253)*($B$4:$B$253="8.1"))+SUMPRODUCT(($D$257:$D$281=V61)*($C$257:$C$281='F0 - Données générales'!$K$31)*($B$257:$B$281="8.1")*($E$257:$E$281)*($F$257:$F$281)))/(SUMIFS('F3 - Relevé du personnel'!$E$4:$E$281,'F3 - Relevé du personnel'!$D$4:$D$281,$V61,'F3 - Relevé du personnel'!$C$4:$C$281,'F0 - Données générales'!$K$31,'F3 - Relevé du personnel'!$B$4:$B$281,"8.1")))</f>
        <v/>
      </c>
      <c r="AJ61" s="120"/>
      <c r="AK61" s="742" t="s">
        <v>65</v>
      </c>
      <c r="AL61" s="742"/>
      <c r="AM61" s="26" t="s">
        <v>280</v>
      </c>
      <c r="AN61" s="741"/>
      <c r="AO61" s="741"/>
      <c r="AP61" s="181">
        <f>SUMIFS('F3 - Relevé du personnel'!$E$4:$E$281,'F3 - Relevé du personnel'!$D$4:$D$281,$AM61,'F3 - Relevé du personnel'!$C$4:$C$281,'F0 - Données générales'!$K$31,'F3 - Relevé du personnel'!$B$4:$B$281,"psycho")</f>
        <v>0</v>
      </c>
      <c r="AQ61" s="181">
        <f>SUMIFS('F3 - Relevé du personnel'!$H$4:$H$281,'F3 - Relevé du personnel'!$D$4:$D$281,$AM61,'F3 - Relevé du personnel'!$C$4:$C$281,'F0 - Données générales'!$K$31,'F3 - Relevé du personnel'!$B$4:$B$281,"psycho")</f>
        <v>0</v>
      </c>
      <c r="AR61" s="256">
        <f>SUMIFS('F3 - Relevé du personnel'!$I$4:$I$281,'F3 - Relevé du personnel'!$D$4:$D$281,$AM61,'F3 - Relevé du personnel'!$C$4:$C$281,'F0 - Données générales'!$K$31,'F3 - Relevé du personnel'!$B$4:$B$281,"psycho")</f>
        <v>0</v>
      </c>
      <c r="AS61" s="256">
        <f>SUMIFS('F3 - Relevé du personnel'!$M$4:$M$281,'F3 - Relevé du personnel'!$D$4:$D$281,$AM61,'F3 - Relevé du personnel'!$C$4:$C$281,'F0 - Données générales'!$K$31,'F3 - Relevé du personnel'!$B$4:$B$281,"psycho")</f>
        <v>0</v>
      </c>
      <c r="AT61" s="196">
        <f t="shared" si="41"/>
        <v>0</v>
      </c>
      <c r="AU61" s="256">
        <f>SUMIFS('F3 - Relevé du personnel'!$O$4:$O$281,'F3 - Relevé du personnel'!$D$4:$D$281,$AM61,'F3 - Relevé du personnel'!$C$4:$C$281,'F0 - Données générales'!$K$31,'F3 - Relevé du personnel'!$B$4:$B$281,"psycho")</f>
        <v>0</v>
      </c>
      <c r="AV61" s="256">
        <f>SUMIFS('F3 - Relevé du personnel'!$P$4:$P$281,'F3 - Relevé du personnel'!$D$4:$D$281,$AM61,'F3 - Relevé du personnel'!$C$4:$C$281,'F0 - Données générales'!$K$31,'F3 - Relevé du personnel'!$B$4:$B$281,"psycho")</f>
        <v>0</v>
      </c>
      <c r="AW61" s="256">
        <f>SUMIFS('F3 - Relevé du personnel'!$Q$4:$Q$281,'F3 - Relevé du personnel'!$D$4:$D$281,$AM61,'F3 - Relevé du personnel'!$C$4:$C$281,'F0 - Données générales'!$K$31,'F3 - Relevé du personnel'!$B$4:$B$281,"psycho")</f>
        <v>0</v>
      </c>
      <c r="AX61" s="182">
        <f t="shared" si="42"/>
        <v>0</v>
      </c>
      <c r="AY61" s="197" t="str">
        <f t="shared" si="36"/>
        <v/>
      </c>
      <c r="AZ61" s="198" t="str">
        <f>IF(AP61=0,"",(SUMPRODUCT(($D$4:$D$253=AM61)*($C$4:$C$253='F0 - Données générales'!$K$31)*($E$4:$E$253)*($F$4:$F$253)*($B$4:$B$253="psycho"))+SUMPRODUCT(($D$257:$D$281=AM61)*($C$257:$C$281='F0 - Données générales'!$K$31)*($B$257:$B$281="psycho")*($E$257:$E$281)*($F$257:$F$281)))/(SUMIFS('F3 - Relevé du personnel'!$E$4:$E$281,'F3 - Relevé du personnel'!$D$4:$D$281,$AM61,'F3 - Relevé du personnel'!$C$4:$C$281,'F0 - Données générales'!$K$31,'F3 - Relevé du personnel'!$B$4:$B$281,"psycho")))</f>
        <v/>
      </c>
      <c r="BA61" s="120"/>
      <c r="BB61" s="762"/>
      <c r="BC61" s="763"/>
      <c r="BD61" s="777" t="s">
        <v>167</v>
      </c>
      <c r="BE61" s="778"/>
      <c r="BF61" s="779"/>
      <c r="BG61" s="190">
        <f>SUM(BG60:BG60)</f>
        <v>0</v>
      </c>
      <c r="BH61" s="191">
        <f>SUM(BH60:BH60)</f>
        <v>0</v>
      </c>
      <c r="BI61" s="191">
        <f>SUM(BI60:BI60)</f>
        <v>0</v>
      </c>
      <c r="BJ61" s="191">
        <f t="shared" si="33"/>
        <v>0</v>
      </c>
      <c r="BK61" s="191">
        <f>SUM(BK60:BK60)</f>
        <v>0</v>
      </c>
      <c r="BL61" s="191">
        <f>SUM(BL60:BL60)</f>
        <v>0</v>
      </c>
      <c r="BM61" s="191">
        <f>SUM(BM60:BM60)</f>
        <v>0</v>
      </c>
      <c r="BN61" s="192">
        <f>BH61+BI61-SUM(BK61:BM61)</f>
        <v>0</v>
      </c>
      <c r="BO61" s="192" t="str">
        <f t="shared" si="35"/>
        <v/>
      </c>
      <c r="BP61" s="193"/>
      <c r="BQ61" s="171"/>
      <c r="BR61" s="170"/>
    </row>
    <row r="62" spans="1:80" ht="15" customHeight="1" x14ac:dyDescent="0.3">
      <c r="A62" s="106">
        <v>59</v>
      </c>
      <c r="B62" s="324">
        <f>'F0 - Données générales'!$C$4</f>
        <v>7</v>
      </c>
      <c r="C62" s="106" t="s">
        <v>95</v>
      </c>
      <c r="D62" s="106"/>
      <c r="E62" s="107"/>
      <c r="F62" s="108"/>
      <c r="G62" s="109"/>
      <c r="H62" s="110">
        <f t="shared" si="5"/>
        <v>0</v>
      </c>
      <c r="I62" s="177"/>
      <c r="J62" s="118" t="str">
        <f>IF(OR(D62="",F62=""),"",(((HLOOKUP(D62,'Carrières et points'!$A$20:$AD$60,F62+2,FALSE)*'Carrières et points'!$C$7*'Carrières et points'!$C$9)+(HLOOKUP(D62,'Carrières et points'!$A$20:$AD$60,F62+2,FALSE)*'Carrières et points'!$C$13*'Carrières et points'!$C$15))*(1+'F0 - Données générales'!$I$4)+((HLOOKUP(D62,'Carrières et points'!$A$20:$AD$60,F62+2,FALSE)*'Carrières et points'!$C$7*'Carrières et points'!$C$9)+(HLOOKUP(D62,'Carrières et points'!$A$20:$AD$60,F62+2,FALSE)*'Carrières et points'!$C$13*'Carrières et points'!$C$15))/12*(1+'F0 - Données générales'!$L$13))*E62)</f>
        <v/>
      </c>
      <c r="K62" s="118" t="str">
        <f t="shared" si="6"/>
        <v/>
      </c>
      <c r="L62" s="109"/>
      <c r="M62" s="177"/>
      <c r="N62" s="118" t="str">
        <f t="shared" si="0"/>
        <v/>
      </c>
      <c r="O62" s="177"/>
      <c r="P62" s="177"/>
      <c r="Q62" s="177"/>
      <c r="R62" s="255" t="str">
        <f t="shared" si="7"/>
        <v/>
      </c>
      <c r="S62" s="120"/>
      <c r="T62" s="742" t="s">
        <v>64</v>
      </c>
      <c r="U62" s="742"/>
      <c r="V62" s="26" t="s">
        <v>97</v>
      </c>
      <c r="W62" s="741"/>
      <c r="X62" s="741"/>
      <c r="Y62" s="181">
        <f>SUMIFS('F3 - Relevé du personnel'!$E$4:$E$281,'F3 - Relevé du personnel'!$D$4:$D$281,$V62,'F3 - Relevé du personnel'!$C$4:$C$281,'F0 - Données générales'!$K$31,'F3 - Relevé du personnel'!$B$4:$B$281,"8.1")</f>
        <v>0</v>
      </c>
      <c r="Z62" s="181">
        <f>SUMIFS('F3 - Relevé du personnel'!$H$4:$H$281,'F3 - Relevé du personnel'!$D$4:$D$281,$V62,'F3 - Relevé du personnel'!$C$4:$C$281,'F0 - Données générales'!$K$31,'F3 - Relevé du personnel'!$B$4:$B$281,"8.1")</f>
        <v>0</v>
      </c>
      <c r="AA62" s="256">
        <f>SUMIFS('F3 - Relevé du personnel'!$I$4:$I$281,'F3 - Relevé du personnel'!$D$4:$D$281,$V62,'F3 - Relevé du personnel'!$C$4:$C$281,'F0 - Données générales'!$K$31,'F3 - Relevé du personnel'!$B$4:$B$281,"8.1")</f>
        <v>0</v>
      </c>
      <c r="AB62" s="256">
        <f>SUMIFS('F3 - Relevé du personnel'!$M$4:$M$281,'F3 - Relevé du personnel'!$D$4:$D$281,$V62,'F3 - Relevé du personnel'!$C$4:$C$281,'F0 - Données générales'!$K$31,'F3 - Relevé du personnel'!$B$4:$B$281,"8.1")</f>
        <v>0</v>
      </c>
      <c r="AC62" s="196">
        <f t="shared" si="26"/>
        <v>0</v>
      </c>
      <c r="AD62" s="256">
        <f>SUMIFS('F3 - Relevé du personnel'!$O$4:$O$281,'F3 - Relevé du personnel'!$D$4:$D$281,$V62,'F3 - Relevé du personnel'!$C$4:$C$281,'F0 - Données générales'!$K$31,'F3 - Relevé du personnel'!$B$4:$B$281,"8.1")</f>
        <v>0</v>
      </c>
      <c r="AE62" s="256">
        <f>SUMIFS('F3 - Relevé du personnel'!$P$4:$P$281,'F3 - Relevé du personnel'!$D$4:$D$281,$V62,'F3 - Relevé du personnel'!$C$4:$C$281,'F0 - Données générales'!$K$31,'F3 - Relevé du personnel'!$B$4:$B$281,"8.1")</f>
        <v>0</v>
      </c>
      <c r="AF62" s="256">
        <f>SUMIFS('F3 - Relevé du personnel'!$Q$4:$Q$281,'F3 - Relevé du personnel'!$D$4:$D$281,$V62,'F3 - Relevé du personnel'!$C$4:$C$281,'F0 - Données générales'!$K$31,'F3 - Relevé du personnel'!$B$4:$B$281,"8.1")</f>
        <v>0</v>
      </c>
      <c r="AG62" s="182">
        <f t="shared" si="27"/>
        <v>0</v>
      </c>
      <c r="AH62" s="197" t="str">
        <f t="shared" si="28"/>
        <v/>
      </c>
      <c r="AI62" s="198" t="str">
        <f>IF(Y62=0,"",(SUMPRODUCT(($D$4:$D$253=V62)*($C$4:$C$253='F0 - Données générales'!$K$31)*($E$4:$E$253)*($F$4:$F$253)*($B$4:$B$253="8.1"))+SUMPRODUCT(($D$257:$D$281=V62)*($C$257:$C$281='F0 - Données générales'!$K$31)*($B$257:$B$281="8.1")*($E$257:$E$281)*($F$257:$F$281)))/(SUMIFS('F3 - Relevé du personnel'!$E$4:$E$281,'F3 - Relevé du personnel'!$D$4:$D$281,$V62,'F3 - Relevé du personnel'!$C$4:$C$281,'F0 - Données générales'!$K$31,'F3 - Relevé du personnel'!$B$4:$B$281,"8.1")))</f>
        <v/>
      </c>
      <c r="AJ62" s="120"/>
      <c r="AK62" s="742" t="s">
        <v>64</v>
      </c>
      <c r="AL62" s="742"/>
      <c r="AM62" s="26" t="s">
        <v>97</v>
      </c>
      <c r="AN62" s="741"/>
      <c r="AO62" s="741"/>
      <c r="AP62" s="181">
        <f>SUMIFS('F3 - Relevé du personnel'!$E$4:$E$281,'F3 - Relevé du personnel'!$D$4:$D$281,$AM62,'F3 - Relevé du personnel'!$C$4:$C$281,'F0 - Données générales'!$K$31,'F3 - Relevé du personnel'!$B$4:$B$281,"psycho")</f>
        <v>0</v>
      </c>
      <c r="AQ62" s="181">
        <f>SUMIFS('F3 - Relevé du personnel'!$H$4:$H$281,'F3 - Relevé du personnel'!$D$4:$D$281,$AM62,'F3 - Relevé du personnel'!$C$4:$C$281,'F0 - Données générales'!$K$31,'F3 - Relevé du personnel'!$B$4:$B$281,"psycho")</f>
        <v>0</v>
      </c>
      <c r="AR62" s="256">
        <f>SUMIFS('F3 - Relevé du personnel'!$I$4:$I$281,'F3 - Relevé du personnel'!$D$4:$D$281,$AM62,'F3 - Relevé du personnel'!$C$4:$C$281,'F0 - Données générales'!$K$31,'F3 - Relevé du personnel'!$B$4:$B$281,"psycho")</f>
        <v>0</v>
      </c>
      <c r="AS62" s="256">
        <f>SUMIFS('F3 - Relevé du personnel'!$M$4:$M$281,'F3 - Relevé du personnel'!$D$4:$D$281,$AM62,'F3 - Relevé du personnel'!$C$4:$C$281,'F0 - Données générales'!$K$31,'F3 - Relevé du personnel'!$B$4:$B$281,"psycho")</f>
        <v>0</v>
      </c>
      <c r="AT62" s="196">
        <f t="shared" si="41"/>
        <v>0</v>
      </c>
      <c r="AU62" s="256">
        <f>SUMIFS('F3 - Relevé du personnel'!$O$4:$O$281,'F3 - Relevé du personnel'!$D$4:$D$281,$AM62,'F3 - Relevé du personnel'!$C$4:$C$281,'F0 - Données générales'!$K$31,'F3 - Relevé du personnel'!$B$4:$B$281,"psycho")</f>
        <v>0</v>
      </c>
      <c r="AV62" s="256">
        <f>SUMIFS('F3 - Relevé du personnel'!$P$4:$P$281,'F3 - Relevé du personnel'!$D$4:$D$281,$AM62,'F3 - Relevé du personnel'!$C$4:$C$281,'F0 - Données générales'!$K$31,'F3 - Relevé du personnel'!$B$4:$B$281,"psycho")</f>
        <v>0</v>
      </c>
      <c r="AW62" s="256">
        <f>SUMIFS('F3 - Relevé du personnel'!$Q$4:$Q$281,'F3 - Relevé du personnel'!$D$4:$D$281,$AM62,'F3 - Relevé du personnel'!$C$4:$C$281,'F0 - Données générales'!$K$31,'F3 - Relevé du personnel'!$B$4:$B$281,"psycho")</f>
        <v>0</v>
      </c>
      <c r="AX62" s="182">
        <f t="shared" si="42"/>
        <v>0</v>
      </c>
      <c r="AY62" s="197" t="str">
        <f t="shared" si="36"/>
        <v/>
      </c>
      <c r="AZ62" s="198" t="str">
        <f>IF(AP62=0,"",(SUMPRODUCT(($D$4:$D$253=AM62)*($C$4:$C$253='F0 - Données générales'!$K$31)*($E$4:$E$253)*($F$4:$F$253)*($B$4:$B$253="psycho"))+SUMPRODUCT(($D$257:$D$281=AM62)*($C$257:$C$281='F0 - Données générales'!$K$31)*($B$257:$B$281="psycho")*($E$257:$E$281)*($F$257:$F$281)))/(SUMIFS('F3 - Relevé du personnel'!$E$4:$E$281,'F3 - Relevé du personnel'!$D$4:$D$281,$AM62,'F3 - Relevé du personnel'!$C$4:$C$281,'F0 - Données générales'!$K$31,'F3 - Relevé du personnel'!$B$4:$B$281,"psycho")))</f>
        <v/>
      </c>
      <c r="BA62" s="120"/>
      <c r="BB62" s="760" t="s">
        <v>79</v>
      </c>
      <c r="BC62" s="761"/>
      <c r="BD62" s="13" t="s">
        <v>96</v>
      </c>
      <c r="BE62" s="758"/>
      <c r="BF62" s="759"/>
      <c r="BG62" s="45">
        <f>SUMIFS('F3 - Relevé du personnel'!$E$4:$E$281,'F3 - Relevé du personnel'!$D$4:$D$281,$BD62,'F3 - Relevé du personnel'!$C$4:$C$281,'F0 - Données générales'!$K$32)</f>
        <v>0</v>
      </c>
      <c r="BH62" s="259">
        <f>SUMIFS('F3 - Relevé du personnel'!$I$4:$I$281,'F3 - Relevé du personnel'!$D$4:$D$281,$BD62,'F3 - Relevé du personnel'!$C$4:$C$281,'F0 - Données générales'!$K$32)</f>
        <v>0</v>
      </c>
      <c r="BI62" s="259">
        <f>SUMIFS('F3 - Relevé du personnel'!$M$4:$M$281,'F3 - Relevé du personnel'!$D$4:$D$281,$BD62,'F3 - Relevé du personnel'!$C$4:$C$281,'F0 - Données générales'!$K$32)</f>
        <v>0</v>
      </c>
      <c r="BJ62" s="189">
        <f t="shared" si="33"/>
        <v>0</v>
      </c>
      <c r="BK62" s="259">
        <f>SUMIFS('F3 - Relevé du personnel'!$O$4:$O$281,'F3 - Relevé du personnel'!$D$4:$D$281,$BD62,'F3 - Relevé du personnel'!$C$4:$C$281,'F0 - Données générales'!$K$32)</f>
        <v>0</v>
      </c>
      <c r="BL62" s="259">
        <f>SUMIFS('F3 - Relevé du personnel'!$P$4:$P$281,'F3 - Relevé du personnel'!$D$4:$D$281,$BD62,'F3 - Relevé du personnel'!$C$4:$C$281,'F0 - Données générales'!$K$32)</f>
        <v>0</v>
      </c>
      <c r="BM62" s="259">
        <f>SUMIFS('F3 - Relevé du personnel'!$Q$4:$Q$281,'F3 - Relevé du personnel'!$D$4:$D$281,$BD62,'F3 - Relevé du personnel'!$C$4:$C$281,'F0 - Données générales'!$K$32)</f>
        <v>0</v>
      </c>
      <c r="BN62" s="48">
        <f t="shared" ref="BN62:BN71" si="44">BH62+BI62-SUM(BK62:BM62)</f>
        <v>0</v>
      </c>
      <c r="BO62" s="187" t="str">
        <f t="shared" si="35"/>
        <v/>
      </c>
      <c r="BP62" s="188" t="str">
        <f>IF(BG62=0,"",(SUMPRODUCT(($D$4:$D$253=BD62)*($C$4:$C$253='F0 - Données générales'!$K$32)*($E$4:$E$253)*($F$4:$F$253))+SUMPRODUCT(($D$257:$D$281=BD62)*($C$257:$C$281='F0 - Données générales'!$K$32)*($E$257:$E$281)*($F$257:$F$281)))/(SUMIFS('F3 - Relevé du personnel'!$E$4:$E$281,'F3 - Relevé du personnel'!$D$4:$D$281,$BD62,'F3 - Relevé du personnel'!$C$4:$C$281,'F0 - Données générales'!$K$32)))</f>
        <v/>
      </c>
      <c r="BQ62" s="171"/>
      <c r="BR62" s="170"/>
    </row>
    <row r="63" spans="1:80" ht="15" customHeight="1" x14ac:dyDescent="0.3">
      <c r="A63" s="106">
        <v>60</v>
      </c>
      <c r="B63" s="324">
        <f>'F0 - Données générales'!$C$4</f>
        <v>7</v>
      </c>
      <c r="C63" s="106" t="s">
        <v>95</v>
      </c>
      <c r="D63" s="106"/>
      <c r="E63" s="107"/>
      <c r="F63" s="108"/>
      <c r="G63" s="109"/>
      <c r="H63" s="110">
        <f t="shared" si="5"/>
        <v>0</v>
      </c>
      <c r="I63" s="177"/>
      <c r="J63" s="118" t="str">
        <f>IF(OR(D63="",F63=""),"",(((HLOOKUP(D63,'Carrières et points'!$A$20:$AD$60,F63+2,FALSE)*'Carrières et points'!$C$7*'Carrières et points'!$C$9)+(HLOOKUP(D63,'Carrières et points'!$A$20:$AD$60,F63+2,FALSE)*'Carrières et points'!$C$13*'Carrières et points'!$C$15))*(1+'F0 - Données générales'!$I$4)+((HLOOKUP(D63,'Carrières et points'!$A$20:$AD$60,F63+2,FALSE)*'Carrières et points'!$C$7*'Carrières et points'!$C$9)+(HLOOKUP(D63,'Carrières et points'!$A$20:$AD$60,F63+2,FALSE)*'Carrières et points'!$C$13*'Carrières et points'!$C$15))/12*(1+'F0 - Données générales'!$L$13))*E63)</f>
        <v/>
      </c>
      <c r="K63" s="118" t="str">
        <f t="shared" si="6"/>
        <v/>
      </c>
      <c r="L63" s="109"/>
      <c r="M63" s="177"/>
      <c r="N63" s="118" t="str">
        <f t="shared" si="0"/>
        <v/>
      </c>
      <c r="O63" s="177"/>
      <c r="P63" s="177"/>
      <c r="Q63" s="177"/>
      <c r="R63" s="255" t="str">
        <f t="shared" si="7"/>
        <v/>
      </c>
      <c r="S63" s="120"/>
      <c r="T63" s="742" t="s">
        <v>61</v>
      </c>
      <c r="U63" s="742"/>
      <c r="V63" s="26" t="s">
        <v>98</v>
      </c>
      <c r="W63" s="741"/>
      <c r="X63" s="741"/>
      <c r="Y63" s="181">
        <f>SUMIFS('F3 - Relevé du personnel'!$E$4:$E$281,'F3 - Relevé du personnel'!$D$4:$D$281,$V63,'F3 - Relevé du personnel'!$C$4:$C$281,'F0 - Données générales'!$K$31,'F3 - Relevé du personnel'!$B$4:$B$281,"8.1")</f>
        <v>0</v>
      </c>
      <c r="Z63" s="181">
        <f>SUMIFS('F3 - Relevé du personnel'!$H$4:$H$281,'F3 - Relevé du personnel'!$D$4:$D$281,$V63,'F3 - Relevé du personnel'!$C$4:$C$281,'F0 - Données générales'!$K$31,'F3 - Relevé du personnel'!$B$4:$B$281,"8.1")</f>
        <v>0</v>
      </c>
      <c r="AA63" s="256">
        <f>SUMIFS('F3 - Relevé du personnel'!$I$4:$I$281,'F3 - Relevé du personnel'!$D$4:$D$281,$V63,'F3 - Relevé du personnel'!$C$4:$C$281,'F0 - Données générales'!$K$31,'F3 - Relevé du personnel'!$B$4:$B$281,"8.1")</f>
        <v>0</v>
      </c>
      <c r="AB63" s="256">
        <f>SUMIFS('F3 - Relevé du personnel'!$M$4:$M$281,'F3 - Relevé du personnel'!$D$4:$D$281,$V63,'F3 - Relevé du personnel'!$C$4:$C$281,'F0 - Données générales'!$K$31,'F3 - Relevé du personnel'!$B$4:$B$281,"8.1")</f>
        <v>0</v>
      </c>
      <c r="AC63" s="196">
        <f t="shared" si="26"/>
        <v>0</v>
      </c>
      <c r="AD63" s="256">
        <f>SUMIFS('F3 - Relevé du personnel'!$O$4:$O$281,'F3 - Relevé du personnel'!$D$4:$D$281,$V63,'F3 - Relevé du personnel'!$C$4:$C$281,'F0 - Données générales'!$K$31,'F3 - Relevé du personnel'!$B$4:$B$281,"8.1")</f>
        <v>0</v>
      </c>
      <c r="AE63" s="256">
        <f>SUMIFS('F3 - Relevé du personnel'!$P$4:$P$281,'F3 - Relevé du personnel'!$D$4:$D$281,$V63,'F3 - Relevé du personnel'!$C$4:$C$281,'F0 - Données générales'!$K$31,'F3 - Relevé du personnel'!$B$4:$B$281,"8.1")</f>
        <v>0</v>
      </c>
      <c r="AF63" s="256">
        <f>SUMIFS('F3 - Relevé du personnel'!$Q$4:$Q$281,'F3 - Relevé du personnel'!$D$4:$D$281,$V63,'F3 - Relevé du personnel'!$C$4:$C$281,'F0 - Données générales'!$K$31,'F3 - Relevé du personnel'!$B$4:$B$281,"8.1")</f>
        <v>0</v>
      </c>
      <c r="AG63" s="182">
        <f t="shared" si="27"/>
        <v>0</v>
      </c>
      <c r="AH63" s="197" t="str">
        <f t="shared" si="28"/>
        <v/>
      </c>
      <c r="AI63" s="198" t="str">
        <f>IF(Y63=0,"",(SUMPRODUCT(($D$4:$D$253=V63)*($C$4:$C$253='F0 - Données générales'!$K$31)*($E$4:$E$253)*($F$4:$F$253)*($B$4:$B$253="8.1"))+SUMPRODUCT(($D$257:$D$281=V63)*($C$257:$C$281='F0 - Données générales'!$K$31)*($B$257:$B$281="8.1")*($E$257:$E$281)*($F$257:$F$281)))/(SUMIFS('F3 - Relevé du personnel'!$E$4:$E$281,'F3 - Relevé du personnel'!$D$4:$D$281,$V63,'F3 - Relevé du personnel'!$C$4:$C$281,'F0 - Données générales'!$K$31,'F3 - Relevé du personnel'!$B$4:$B$281,"8.1")))</f>
        <v/>
      </c>
      <c r="AJ63" s="120"/>
      <c r="AK63" s="742" t="s">
        <v>61</v>
      </c>
      <c r="AL63" s="742"/>
      <c r="AM63" s="26" t="s">
        <v>98</v>
      </c>
      <c r="AN63" s="741"/>
      <c r="AO63" s="741"/>
      <c r="AP63" s="181">
        <f>SUMIFS('F3 - Relevé du personnel'!$E$4:$E$281,'F3 - Relevé du personnel'!$D$4:$D$281,$AM63,'F3 - Relevé du personnel'!$C$4:$C$281,'F0 - Données générales'!$K$31,'F3 - Relevé du personnel'!$B$4:$B$281,"psycho")</f>
        <v>0</v>
      </c>
      <c r="AQ63" s="181">
        <f>SUMIFS('F3 - Relevé du personnel'!$H$4:$H$281,'F3 - Relevé du personnel'!$D$4:$D$281,$AM63,'F3 - Relevé du personnel'!$C$4:$C$281,'F0 - Données générales'!$K$31,'F3 - Relevé du personnel'!$B$4:$B$281,"psycho")</f>
        <v>0</v>
      </c>
      <c r="AR63" s="256">
        <f>SUMIFS('F3 - Relevé du personnel'!$I$4:$I$281,'F3 - Relevé du personnel'!$D$4:$D$281,$AM63,'F3 - Relevé du personnel'!$C$4:$C$281,'F0 - Données générales'!$K$31,'F3 - Relevé du personnel'!$B$4:$B$281,"psycho")</f>
        <v>0</v>
      </c>
      <c r="AS63" s="256">
        <f>SUMIFS('F3 - Relevé du personnel'!$M$4:$M$281,'F3 - Relevé du personnel'!$D$4:$D$281,$AM63,'F3 - Relevé du personnel'!$C$4:$C$281,'F0 - Données générales'!$K$31,'F3 - Relevé du personnel'!$B$4:$B$281,"psycho")</f>
        <v>0</v>
      </c>
      <c r="AT63" s="196">
        <f t="shared" si="41"/>
        <v>0</v>
      </c>
      <c r="AU63" s="256">
        <f>SUMIFS('F3 - Relevé du personnel'!$O$4:$O$281,'F3 - Relevé du personnel'!$D$4:$D$281,$AM63,'F3 - Relevé du personnel'!$C$4:$C$281,'F0 - Données générales'!$K$31,'F3 - Relevé du personnel'!$B$4:$B$281,"psycho")</f>
        <v>0</v>
      </c>
      <c r="AV63" s="256">
        <f>SUMIFS('F3 - Relevé du personnel'!$P$4:$P$281,'F3 - Relevé du personnel'!$D$4:$D$281,$AM63,'F3 - Relevé du personnel'!$C$4:$C$281,'F0 - Données générales'!$K$31,'F3 - Relevé du personnel'!$B$4:$B$281,"psycho")</f>
        <v>0</v>
      </c>
      <c r="AW63" s="256">
        <f>SUMIFS('F3 - Relevé du personnel'!$Q$4:$Q$281,'F3 - Relevé du personnel'!$D$4:$D$281,$AM63,'F3 - Relevé du personnel'!$C$4:$C$281,'F0 - Données générales'!$K$31,'F3 - Relevé du personnel'!$B$4:$B$281,"psycho")</f>
        <v>0</v>
      </c>
      <c r="AX63" s="182">
        <f t="shared" si="42"/>
        <v>0</v>
      </c>
      <c r="AY63" s="197" t="str">
        <f t="shared" si="36"/>
        <v/>
      </c>
      <c r="AZ63" s="198" t="str">
        <f>IF(AP63=0,"",(SUMPRODUCT(($D$4:$D$253=AM63)*($C$4:$C$253='F0 - Données générales'!$K$31)*($E$4:$E$253)*($F$4:$F$253)*($B$4:$B$253="psycho"))+SUMPRODUCT(($D$257:$D$281=AM63)*($C$257:$C$281='F0 - Données générales'!$K$31)*($B$257:$B$281="psycho")*($E$257:$E$281)*($F$257:$F$281)))/(SUMIFS('F3 - Relevé du personnel'!$E$4:$E$281,'F3 - Relevé du personnel'!$D$4:$D$281,$AM63,'F3 - Relevé du personnel'!$C$4:$C$281,'F0 - Données générales'!$K$31,'F3 - Relevé du personnel'!$B$4:$B$281,"psycho")))</f>
        <v/>
      </c>
      <c r="BA63" s="120"/>
      <c r="BB63" s="760" t="s">
        <v>79</v>
      </c>
      <c r="BC63" s="761"/>
      <c r="BD63" s="13" t="s">
        <v>277</v>
      </c>
      <c r="BE63" s="758"/>
      <c r="BF63" s="759"/>
      <c r="BG63" s="45">
        <f>SUMIFS('F3 - Relevé du personnel'!$E$4:$E$281,'F3 - Relevé du personnel'!$D$4:$D$281,$BD63,'F3 - Relevé du personnel'!$C$4:$C$281,'F0 - Données générales'!$K$32)</f>
        <v>0</v>
      </c>
      <c r="BH63" s="259">
        <f>SUMIFS('F3 - Relevé du personnel'!$I$4:$I$281,'F3 - Relevé du personnel'!$D$4:$D$281,$BD63,'F3 - Relevé du personnel'!$C$4:$C$281,'F0 - Données générales'!$K$32)</f>
        <v>0</v>
      </c>
      <c r="BI63" s="259">
        <f>SUMIFS('F3 - Relevé du personnel'!$M$4:$M$281,'F3 - Relevé du personnel'!$D$4:$D$281,$BD63,'F3 - Relevé du personnel'!$C$4:$C$281,'F0 - Données générales'!$K$32)</f>
        <v>0</v>
      </c>
      <c r="BJ63" s="189">
        <f t="shared" si="33"/>
        <v>0</v>
      </c>
      <c r="BK63" s="259">
        <f>SUMIFS('F3 - Relevé du personnel'!$O$4:$O$281,'F3 - Relevé du personnel'!$D$4:$D$281,$BD63,'F3 - Relevé du personnel'!$C$4:$C$281,'F0 - Données générales'!$K$32)</f>
        <v>0</v>
      </c>
      <c r="BL63" s="259">
        <f>SUMIFS('F3 - Relevé du personnel'!$P$4:$P$281,'F3 - Relevé du personnel'!$D$4:$D$281,$BD63,'F3 - Relevé du personnel'!$C$4:$C$281,'F0 - Données générales'!$K$32)</f>
        <v>0</v>
      </c>
      <c r="BM63" s="259">
        <f>SUMIFS('F3 - Relevé du personnel'!$Q$4:$Q$281,'F3 - Relevé du personnel'!$D$4:$D$281,$BD63,'F3 - Relevé du personnel'!$C$4:$C$281,'F0 - Données générales'!$K$32)</f>
        <v>0</v>
      </c>
      <c r="BN63" s="48">
        <f t="shared" si="44"/>
        <v>0</v>
      </c>
      <c r="BO63" s="187" t="str">
        <f t="shared" si="35"/>
        <v/>
      </c>
      <c r="BP63" s="188" t="str">
        <f>IF(BG63=0,"",(SUMPRODUCT(($D$4:$D$253=BD63)*($C$4:$C$253='F0 - Données générales'!$K$32)*($E$4:$E$253)*($F$4:$F$253))+SUMPRODUCT(($D$257:$D$281=BD63)*($C$257:$C$281='F0 - Données générales'!$K$32)*($E$257:$E$281)*($F$257:$F$281)))/(SUMIFS('F3 - Relevé du personnel'!$E$4:$E$281,'F3 - Relevé du personnel'!$D$4:$D$281,$BD63,'F3 - Relevé du personnel'!$C$4:$C$281,'F0 - Données générales'!$K$32)))</f>
        <v/>
      </c>
      <c r="BQ63" s="171"/>
      <c r="BR63" s="170"/>
    </row>
    <row r="64" spans="1:80" ht="15" customHeight="1" x14ac:dyDescent="0.3">
      <c r="A64" s="106">
        <v>61</v>
      </c>
      <c r="B64" s="324">
        <f>'F0 - Données générales'!$C$4</f>
        <v>7</v>
      </c>
      <c r="C64" s="106" t="s">
        <v>95</v>
      </c>
      <c r="D64" s="106"/>
      <c r="E64" s="107"/>
      <c r="F64" s="108"/>
      <c r="G64" s="109"/>
      <c r="H64" s="110">
        <f t="shared" si="5"/>
        <v>0</v>
      </c>
      <c r="I64" s="177"/>
      <c r="J64" s="118" t="str">
        <f>IF(OR(D64="",F64=""),"",(((HLOOKUP(D64,'Carrières et points'!$A$20:$AD$60,F64+2,FALSE)*'Carrières et points'!$C$7*'Carrières et points'!$C$9)+(HLOOKUP(D64,'Carrières et points'!$A$20:$AD$60,F64+2,FALSE)*'Carrières et points'!$C$13*'Carrières et points'!$C$15))*(1+'F0 - Données générales'!$I$4)+((HLOOKUP(D64,'Carrières et points'!$A$20:$AD$60,F64+2,FALSE)*'Carrières et points'!$C$7*'Carrières et points'!$C$9)+(HLOOKUP(D64,'Carrières et points'!$A$20:$AD$60,F64+2,FALSE)*'Carrières et points'!$C$13*'Carrières et points'!$C$15))/12*(1+'F0 - Données générales'!$L$13))*E64)</f>
        <v/>
      </c>
      <c r="K64" s="118" t="str">
        <f t="shared" si="6"/>
        <v/>
      </c>
      <c r="L64" s="109"/>
      <c r="M64" s="177"/>
      <c r="N64" s="118" t="str">
        <f t="shared" si="0"/>
        <v/>
      </c>
      <c r="O64" s="177"/>
      <c r="P64" s="177"/>
      <c r="Q64" s="177"/>
      <c r="R64" s="255" t="str">
        <f t="shared" si="7"/>
        <v/>
      </c>
      <c r="S64" s="120"/>
      <c r="T64" s="742" t="s">
        <v>61</v>
      </c>
      <c r="U64" s="742"/>
      <c r="V64" s="26" t="s">
        <v>319</v>
      </c>
      <c r="W64" s="741"/>
      <c r="X64" s="741"/>
      <c r="Y64" s="181">
        <f>SUMIFS('F3 - Relevé du personnel'!$E$4:$E$281,'F3 - Relevé du personnel'!$D$4:$D$281,$V64,'F3 - Relevé du personnel'!$C$4:$C$281,'F0 - Données générales'!$K$31,'F3 - Relevé du personnel'!$B$4:$B$281,"8.1")</f>
        <v>0</v>
      </c>
      <c r="Z64" s="181">
        <f>SUMIFS('F3 - Relevé du personnel'!$H$4:$H$281,'F3 - Relevé du personnel'!$D$4:$D$281,$V64,'F3 - Relevé du personnel'!$C$4:$C$281,'F0 - Données générales'!$K$31,'F3 - Relevé du personnel'!$B$4:$B$281,"8.1")</f>
        <v>0</v>
      </c>
      <c r="AA64" s="256">
        <f>SUMIFS('F3 - Relevé du personnel'!$I$4:$I$281,'F3 - Relevé du personnel'!$D$4:$D$281,$V64,'F3 - Relevé du personnel'!$C$4:$C$281,'F0 - Données générales'!$K$31,'F3 - Relevé du personnel'!$B$4:$B$281,"8.1")</f>
        <v>0</v>
      </c>
      <c r="AB64" s="256">
        <f>SUMIFS('F3 - Relevé du personnel'!$M$4:$M$281,'F3 - Relevé du personnel'!$D$4:$D$281,$V64,'F3 - Relevé du personnel'!$C$4:$C$281,'F0 - Données générales'!$K$31,'F3 - Relevé du personnel'!$B$4:$B$281,"8.1")</f>
        <v>0</v>
      </c>
      <c r="AC64" s="196">
        <f t="shared" si="26"/>
        <v>0</v>
      </c>
      <c r="AD64" s="256">
        <f>SUMIFS('F3 - Relevé du personnel'!$O$4:$O$281,'F3 - Relevé du personnel'!$D$4:$D$281,$V64,'F3 - Relevé du personnel'!$C$4:$C$281,'F0 - Données générales'!$K$31,'F3 - Relevé du personnel'!$B$4:$B$281,"8.1")</f>
        <v>0</v>
      </c>
      <c r="AE64" s="256">
        <f>SUMIFS('F3 - Relevé du personnel'!$P$4:$P$281,'F3 - Relevé du personnel'!$D$4:$D$281,$V64,'F3 - Relevé du personnel'!$C$4:$C$281,'F0 - Données générales'!$K$31,'F3 - Relevé du personnel'!$B$4:$B$281,"8.1")</f>
        <v>0</v>
      </c>
      <c r="AF64" s="256">
        <f>SUMIFS('F3 - Relevé du personnel'!$Q$4:$Q$281,'F3 - Relevé du personnel'!$D$4:$D$281,$V64,'F3 - Relevé du personnel'!$C$4:$C$281,'F0 - Données générales'!$K$31,'F3 - Relevé du personnel'!$B$4:$B$281,"8.1")</f>
        <v>0</v>
      </c>
      <c r="AG64" s="182">
        <f t="shared" si="27"/>
        <v>0</v>
      </c>
      <c r="AH64" s="197" t="str">
        <f t="shared" si="28"/>
        <v/>
      </c>
      <c r="AI64" s="198" t="str">
        <f>IF(Y64=0,"",(SUMPRODUCT(($D$4:$D$253=V64)*($C$4:$C$253='F0 - Données générales'!$K$31)*($E$4:$E$253)*($F$4:$F$253)*($B$4:$B$253="8.1"))+SUMPRODUCT(($D$257:$D$281=V64)*($C$257:$C$281='F0 - Données générales'!$K$31)*($B$257:$B$281="8.1")*($E$257:$E$281)*($F$257:$F$281)))/(SUMIFS('F3 - Relevé du personnel'!$E$4:$E$281,'F3 - Relevé du personnel'!$D$4:$D$281,$V64,'F3 - Relevé du personnel'!$C$4:$C$281,'F0 - Données générales'!$K$31,'F3 - Relevé du personnel'!$B$4:$B$281,"8.1")))</f>
        <v/>
      </c>
      <c r="AJ64" s="120"/>
      <c r="AK64" s="742" t="s">
        <v>61</v>
      </c>
      <c r="AL64" s="742"/>
      <c r="AM64" s="26" t="s">
        <v>319</v>
      </c>
      <c r="AN64" s="741"/>
      <c r="AO64" s="741"/>
      <c r="AP64" s="181">
        <f>SUMIFS('F3 - Relevé du personnel'!$E$4:$E$281,'F3 - Relevé du personnel'!$D$4:$D$281,$AM64,'F3 - Relevé du personnel'!$C$4:$C$281,'F0 - Données générales'!$K$31,'F3 - Relevé du personnel'!$B$4:$B$281,"psycho")</f>
        <v>0</v>
      </c>
      <c r="AQ64" s="181">
        <f>SUMIFS('F3 - Relevé du personnel'!$H$4:$H$281,'F3 - Relevé du personnel'!$D$4:$D$281,$AM64,'F3 - Relevé du personnel'!$C$4:$C$281,'F0 - Données générales'!$K$31,'F3 - Relevé du personnel'!$B$4:$B$281,"psycho")</f>
        <v>0</v>
      </c>
      <c r="AR64" s="256">
        <f>SUMIFS('F3 - Relevé du personnel'!$I$4:$I$281,'F3 - Relevé du personnel'!$D$4:$D$281,$AM64,'F3 - Relevé du personnel'!$C$4:$C$281,'F0 - Données générales'!$K$31,'F3 - Relevé du personnel'!$B$4:$B$281,"psycho")</f>
        <v>0</v>
      </c>
      <c r="AS64" s="256">
        <f>SUMIFS('F3 - Relevé du personnel'!$M$4:$M$281,'F3 - Relevé du personnel'!$D$4:$D$281,$AM64,'F3 - Relevé du personnel'!$C$4:$C$281,'F0 - Données générales'!$K$31,'F3 - Relevé du personnel'!$B$4:$B$281,"psycho")</f>
        <v>0</v>
      </c>
      <c r="AT64" s="196">
        <f t="shared" si="41"/>
        <v>0</v>
      </c>
      <c r="AU64" s="256">
        <f>SUMIFS('F3 - Relevé du personnel'!$O$4:$O$281,'F3 - Relevé du personnel'!$D$4:$D$281,$AM64,'F3 - Relevé du personnel'!$C$4:$C$281,'F0 - Données générales'!$K$31,'F3 - Relevé du personnel'!$B$4:$B$281,"psycho")</f>
        <v>0</v>
      </c>
      <c r="AV64" s="256">
        <f>SUMIFS('F3 - Relevé du personnel'!$P$4:$P$281,'F3 - Relevé du personnel'!$D$4:$D$281,$AM64,'F3 - Relevé du personnel'!$C$4:$C$281,'F0 - Données générales'!$K$31,'F3 - Relevé du personnel'!$B$4:$B$281,"psycho")</f>
        <v>0</v>
      </c>
      <c r="AW64" s="256">
        <f>SUMIFS('F3 - Relevé du personnel'!$Q$4:$Q$281,'F3 - Relevé du personnel'!$D$4:$D$281,$AM64,'F3 - Relevé du personnel'!$C$4:$C$281,'F0 - Données générales'!$K$31,'F3 - Relevé du personnel'!$B$4:$B$281,"psycho")</f>
        <v>0</v>
      </c>
      <c r="AX64" s="182">
        <f t="shared" si="42"/>
        <v>0</v>
      </c>
      <c r="AY64" s="197" t="str">
        <f t="shared" si="36"/>
        <v/>
      </c>
      <c r="AZ64" s="198" t="str">
        <f>IF(AP64=0,"",(SUMPRODUCT(($D$4:$D$253=AM64)*($C$4:$C$253='F0 - Données générales'!$K$31)*($E$4:$E$253)*($F$4:$F$253)*($B$4:$B$253="psycho"))+SUMPRODUCT(($D$257:$D$281=AM64)*($C$257:$C$281='F0 - Données générales'!$K$31)*($B$257:$B$281="psycho")*($E$257:$E$281)*($F$257:$F$281)))/(SUMIFS('F3 - Relevé du personnel'!$E$4:$E$281,'F3 - Relevé du personnel'!$D$4:$D$281,$AM64,'F3 - Relevé du personnel'!$C$4:$C$281,'F0 - Données générales'!$K$31,'F3 - Relevé du personnel'!$B$4:$B$281,"psycho")))</f>
        <v/>
      </c>
      <c r="BA64" s="120"/>
      <c r="BB64" s="760" t="s">
        <v>65</v>
      </c>
      <c r="BC64" s="761"/>
      <c r="BD64" s="13" t="s">
        <v>278</v>
      </c>
      <c r="BE64" s="758"/>
      <c r="BF64" s="759"/>
      <c r="BG64" s="45">
        <f>SUMIFS('F3 - Relevé du personnel'!$E$4:$E$281,'F3 - Relevé du personnel'!$D$4:$D$281,$BD64,'F3 - Relevé du personnel'!$C$4:$C$281,'F0 - Données générales'!$K$32)</f>
        <v>0</v>
      </c>
      <c r="BH64" s="259">
        <f>SUMIFS('F3 - Relevé du personnel'!$I$4:$I$281,'F3 - Relevé du personnel'!$D$4:$D$281,$BD64,'F3 - Relevé du personnel'!$C$4:$C$281,'F0 - Données générales'!$K$32)</f>
        <v>0</v>
      </c>
      <c r="BI64" s="259">
        <f>SUMIFS('F3 - Relevé du personnel'!$M$4:$M$281,'F3 - Relevé du personnel'!$D$4:$D$281,$BD64,'F3 - Relevé du personnel'!$C$4:$C$281,'F0 - Données générales'!$K$32)</f>
        <v>0</v>
      </c>
      <c r="BJ64" s="189">
        <f t="shared" si="33"/>
        <v>0</v>
      </c>
      <c r="BK64" s="259">
        <f>SUMIFS('F3 - Relevé du personnel'!$O$4:$O$281,'F3 - Relevé du personnel'!$D$4:$D$281,$BD64,'F3 - Relevé du personnel'!$C$4:$C$281,'F0 - Données générales'!$K$32)</f>
        <v>0</v>
      </c>
      <c r="BL64" s="259">
        <f>SUMIFS('F3 - Relevé du personnel'!$P$4:$P$281,'F3 - Relevé du personnel'!$D$4:$D$281,$BD64,'F3 - Relevé du personnel'!$C$4:$C$281,'F0 - Données générales'!$K$32)</f>
        <v>0</v>
      </c>
      <c r="BM64" s="259">
        <f>SUMIFS('F3 - Relevé du personnel'!$Q$4:$Q$281,'F3 - Relevé du personnel'!$D$4:$D$281,$BD64,'F3 - Relevé du personnel'!$C$4:$C$281,'F0 - Données générales'!$K$32)</f>
        <v>0</v>
      </c>
      <c r="BN64" s="48">
        <f t="shared" si="44"/>
        <v>0</v>
      </c>
      <c r="BO64" s="187" t="str">
        <f t="shared" si="35"/>
        <v/>
      </c>
      <c r="BP64" s="188" t="str">
        <f>IF(BG64=0,"",(SUMPRODUCT(($D$4:$D$253=BD64)*($C$4:$C$253='F0 - Données générales'!$K$32)*($E$4:$E$253)*($F$4:$F$253))+SUMPRODUCT(($D$257:$D$281=BD64)*($C$257:$C$281='F0 - Données générales'!$K$32)*($E$257:$E$281)*($F$257:$F$281)))/(SUMIFS('F3 - Relevé du personnel'!$E$4:$E$281,'F3 - Relevé du personnel'!$D$4:$D$281,$BD64,'F3 - Relevé du personnel'!$C$4:$C$281,'F0 - Données générales'!$K$32)))</f>
        <v/>
      </c>
      <c r="BQ64" s="171"/>
      <c r="BR64" s="170"/>
    </row>
    <row r="65" spans="1:74" ht="15" customHeight="1" x14ac:dyDescent="0.3">
      <c r="A65" s="106">
        <v>62</v>
      </c>
      <c r="B65" s="324">
        <f>'F0 - Données générales'!$C$4</f>
        <v>7</v>
      </c>
      <c r="C65" s="106" t="s">
        <v>95</v>
      </c>
      <c r="D65" s="106"/>
      <c r="E65" s="107"/>
      <c r="F65" s="108"/>
      <c r="G65" s="109"/>
      <c r="H65" s="110">
        <f t="shared" si="5"/>
        <v>0</v>
      </c>
      <c r="I65" s="177"/>
      <c r="J65" s="118" t="str">
        <f>IF(OR(D65="",F65=""),"",(((HLOOKUP(D65,'Carrières et points'!$A$20:$AD$60,F65+2,FALSE)*'Carrières et points'!$C$7*'Carrières et points'!$C$9)+(HLOOKUP(D65,'Carrières et points'!$A$20:$AD$60,F65+2,FALSE)*'Carrières et points'!$C$13*'Carrières et points'!$C$15))*(1+'F0 - Données générales'!$I$4)+((HLOOKUP(D65,'Carrières et points'!$A$20:$AD$60,F65+2,FALSE)*'Carrières et points'!$C$7*'Carrières et points'!$C$9)+(HLOOKUP(D65,'Carrières et points'!$A$20:$AD$60,F65+2,FALSE)*'Carrières et points'!$C$13*'Carrières et points'!$C$15))/12*(1+'F0 - Données générales'!$L$13))*E65)</f>
        <v/>
      </c>
      <c r="K65" s="118" t="str">
        <f t="shared" si="6"/>
        <v/>
      </c>
      <c r="L65" s="109"/>
      <c r="M65" s="177"/>
      <c r="N65" s="118" t="str">
        <f t="shared" si="0"/>
        <v/>
      </c>
      <c r="O65" s="177"/>
      <c r="P65" s="177"/>
      <c r="Q65" s="177"/>
      <c r="R65" s="255" t="str">
        <f t="shared" si="7"/>
        <v/>
      </c>
      <c r="S65" s="120"/>
      <c r="T65" s="742" t="s">
        <v>61</v>
      </c>
      <c r="U65" s="742"/>
      <c r="V65" s="26" t="s">
        <v>99</v>
      </c>
      <c r="W65" s="741"/>
      <c r="X65" s="741"/>
      <c r="Y65" s="181">
        <f>SUMIFS('F3 - Relevé du personnel'!$E$4:$E$281,'F3 - Relevé du personnel'!$D$4:$D$281,$V65,'F3 - Relevé du personnel'!$C$4:$C$281,'F0 - Données générales'!$K$31,'F3 - Relevé du personnel'!$B$4:$B$281,"8.1")</f>
        <v>0</v>
      </c>
      <c r="Z65" s="181">
        <f>SUMIFS('F3 - Relevé du personnel'!$H$4:$H$281,'F3 - Relevé du personnel'!$D$4:$D$281,$V65,'F3 - Relevé du personnel'!$C$4:$C$281,'F0 - Données générales'!$K$31,'F3 - Relevé du personnel'!$B$4:$B$281,"8.1")</f>
        <v>0</v>
      </c>
      <c r="AA65" s="256">
        <f>SUMIFS('F3 - Relevé du personnel'!$I$4:$I$281,'F3 - Relevé du personnel'!$D$4:$D$281,$V65,'F3 - Relevé du personnel'!$C$4:$C$281,'F0 - Données générales'!$K$31,'F3 - Relevé du personnel'!$B$4:$B$281,"8.1")</f>
        <v>0</v>
      </c>
      <c r="AB65" s="256">
        <f>SUMIFS('F3 - Relevé du personnel'!$M$4:$M$281,'F3 - Relevé du personnel'!$D$4:$D$281,$V65,'F3 - Relevé du personnel'!$C$4:$C$281,'F0 - Données générales'!$K$31,'F3 - Relevé du personnel'!$B$4:$B$281,"8.1")</f>
        <v>0</v>
      </c>
      <c r="AC65" s="196">
        <f t="shared" si="26"/>
        <v>0</v>
      </c>
      <c r="AD65" s="256">
        <f>SUMIFS('F3 - Relevé du personnel'!$O$4:$O$281,'F3 - Relevé du personnel'!$D$4:$D$281,$V65,'F3 - Relevé du personnel'!$C$4:$C$281,'F0 - Données générales'!$K$31,'F3 - Relevé du personnel'!$B$4:$B$281,"8.1")</f>
        <v>0</v>
      </c>
      <c r="AE65" s="256">
        <f>SUMIFS('F3 - Relevé du personnel'!$P$4:$P$281,'F3 - Relevé du personnel'!$D$4:$D$281,$V65,'F3 - Relevé du personnel'!$C$4:$C$281,'F0 - Données générales'!$K$31,'F3 - Relevé du personnel'!$B$4:$B$281,"8.1")</f>
        <v>0</v>
      </c>
      <c r="AF65" s="256">
        <f>SUMIFS('F3 - Relevé du personnel'!$Q$4:$Q$281,'F3 - Relevé du personnel'!$D$4:$D$281,$V65,'F3 - Relevé du personnel'!$C$4:$C$281,'F0 - Données générales'!$K$31,'F3 - Relevé du personnel'!$B$4:$B$281,"8.1")</f>
        <v>0</v>
      </c>
      <c r="AG65" s="182">
        <f t="shared" si="27"/>
        <v>0</v>
      </c>
      <c r="AH65" s="197" t="str">
        <f t="shared" si="28"/>
        <v/>
      </c>
      <c r="AI65" s="198" t="str">
        <f>IF(Y65=0,"",(SUMPRODUCT(($D$4:$D$253=V65)*($C$4:$C$253='F0 - Données générales'!$K$31)*($E$4:$E$253)*($F$4:$F$253)*($B$4:$B$253="8.1"))+SUMPRODUCT(($D$257:$D$281=V65)*($C$257:$C$281='F0 - Données générales'!$K$31)*($B$257:$B$281="8.1")*($E$257:$E$281)*($F$257:$F$281)))/(SUMIFS('F3 - Relevé du personnel'!$E$4:$E$281,'F3 - Relevé du personnel'!$D$4:$D$281,$V65,'F3 - Relevé du personnel'!$C$4:$C$281,'F0 - Données générales'!$K$31,'F3 - Relevé du personnel'!$B$4:$B$281,"8.1")))</f>
        <v/>
      </c>
      <c r="AJ65" s="120"/>
      <c r="AK65" s="742" t="s">
        <v>61</v>
      </c>
      <c r="AL65" s="742"/>
      <c r="AM65" s="26" t="s">
        <v>99</v>
      </c>
      <c r="AN65" s="741"/>
      <c r="AO65" s="741"/>
      <c r="AP65" s="181">
        <f>SUMIFS('F3 - Relevé du personnel'!$E$4:$E$281,'F3 - Relevé du personnel'!$D$4:$D$281,$AM65,'F3 - Relevé du personnel'!$C$4:$C$281,'F0 - Données générales'!$K$31,'F3 - Relevé du personnel'!$B$4:$B$281,"psycho")</f>
        <v>0</v>
      </c>
      <c r="AQ65" s="181">
        <f>SUMIFS('F3 - Relevé du personnel'!$H$4:$H$281,'F3 - Relevé du personnel'!$D$4:$D$281,$AM65,'F3 - Relevé du personnel'!$C$4:$C$281,'F0 - Données générales'!$K$31,'F3 - Relevé du personnel'!$B$4:$B$281,"psycho")</f>
        <v>0</v>
      </c>
      <c r="AR65" s="256">
        <f>SUMIFS('F3 - Relevé du personnel'!$I$4:$I$281,'F3 - Relevé du personnel'!$D$4:$D$281,$AM65,'F3 - Relevé du personnel'!$C$4:$C$281,'F0 - Données générales'!$K$31,'F3 - Relevé du personnel'!$B$4:$B$281,"psycho")</f>
        <v>0</v>
      </c>
      <c r="AS65" s="256">
        <f>SUMIFS('F3 - Relevé du personnel'!$M$4:$M$281,'F3 - Relevé du personnel'!$D$4:$D$281,$AM65,'F3 - Relevé du personnel'!$C$4:$C$281,'F0 - Données générales'!$K$31,'F3 - Relevé du personnel'!$B$4:$B$281,"psycho")</f>
        <v>0</v>
      </c>
      <c r="AT65" s="196">
        <f t="shared" si="41"/>
        <v>0</v>
      </c>
      <c r="AU65" s="256">
        <f>SUMIFS('F3 - Relevé du personnel'!$O$4:$O$281,'F3 - Relevé du personnel'!$D$4:$D$281,$AM65,'F3 - Relevé du personnel'!$C$4:$C$281,'F0 - Données générales'!$K$31,'F3 - Relevé du personnel'!$B$4:$B$281,"psycho")</f>
        <v>0</v>
      </c>
      <c r="AV65" s="256">
        <f>SUMIFS('F3 - Relevé du personnel'!$P$4:$P$281,'F3 - Relevé du personnel'!$D$4:$D$281,$AM65,'F3 - Relevé du personnel'!$C$4:$C$281,'F0 - Données générales'!$K$31,'F3 - Relevé du personnel'!$B$4:$B$281,"psycho")</f>
        <v>0</v>
      </c>
      <c r="AW65" s="256">
        <f>SUMIFS('F3 - Relevé du personnel'!$Q$4:$Q$281,'F3 - Relevé du personnel'!$D$4:$D$281,$AM65,'F3 - Relevé du personnel'!$C$4:$C$281,'F0 - Données générales'!$K$31,'F3 - Relevé du personnel'!$B$4:$B$281,"psycho")</f>
        <v>0</v>
      </c>
      <c r="AX65" s="182">
        <f t="shared" si="42"/>
        <v>0</v>
      </c>
      <c r="AY65" s="197" t="str">
        <f t="shared" si="36"/>
        <v/>
      </c>
      <c r="AZ65" s="198" t="str">
        <f>IF(AP65=0,"",(SUMPRODUCT(($D$4:$D$253=AM65)*($C$4:$C$253='F0 - Données générales'!$K$31)*($E$4:$E$253)*($F$4:$F$253)*($B$4:$B$253="psycho"))+SUMPRODUCT(($D$257:$D$281=AM65)*($C$257:$C$281='F0 - Données générales'!$K$31)*($B$257:$B$281="psycho")*($E$257:$E$281)*($F$257:$F$281)))/(SUMIFS('F3 - Relevé du personnel'!$E$4:$E$281,'F3 - Relevé du personnel'!$D$4:$D$281,$AM65,'F3 - Relevé du personnel'!$C$4:$C$281,'F0 - Données générales'!$K$31,'F3 - Relevé du personnel'!$B$4:$B$281,"psycho")))</f>
        <v/>
      </c>
      <c r="BA65" s="120"/>
      <c r="BB65" s="760" t="s">
        <v>79</v>
      </c>
      <c r="BC65" s="761"/>
      <c r="BD65" s="13" t="s">
        <v>279</v>
      </c>
      <c r="BE65" s="758"/>
      <c r="BF65" s="759"/>
      <c r="BG65" s="45">
        <f>SUMIFS('F3 - Relevé du personnel'!$E$4:$E$281,'F3 - Relevé du personnel'!$D$4:$D$281,$BD65,'F3 - Relevé du personnel'!$C$4:$C$281,'F0 - Données générales'!$K$32)</f>
        <v>0</v>
      </c>
      <c r="BH65" s="259">
        <f>SUMIFS('F3 - Relevé du personnel'!$I$4:$I$281,'F3 - Relevé du personnel'!$D$4:$D$281,$BD65,'F3 - Relevé du personnel'!$C$4:$C$281,'F0 - Données générales'!$K$32)</f>
        <v>0</v>
      </c>
      <c r="BI65" s="259">
        <f>SUMIFS('F3 - Relevé du personnel'!$M$4:$M$281,'F3 - Relevé du personnel'!$D$4:$D$281,$BD65,'F3 - Relevé du personnel'!$C$4:$C$281,'F0 - Données générales'!$K$32)</f>
        <v>0</v>
      </c>
      <c r="BJ65" s="189">
        <f t="shared" si="33"/>
        <v>0</v>
      </c>
      <c r="BK65" s="259">
        <f>SUMIFS('F3 - Relevé du personnel'!$O$4:$O$281,'F3 - Relevé du personnel'!$D$4:$D$281,$BD65,'F3 - Relevé du personnel'!$C$4:$C$281,'F0 - Données générales'!$K$32)</f>
        <v>0</v>
      </c>
      <c r="BL65" s="259">
        <f>SUMIFS('F3 - Relevé du personnel'!$P$4:$P$281,'F3 - Relevé du personnel'!$D$4:$D$281,$BD65,'F3 - Relevé du personnel'!$C$4:$C$281,'F0 - Données générales'!$K$32)</f>
        <v>0</v>
      </c>
      <c r="BM65" s="259">
        <f>SUMIFS('F3 - Relevé du personnel'!$Q$4:$Q$281,'F3 - Relevé du personnel'!$D$4:$D$281,$BD65,'F3 - Relevé du personnel'!$C$4:$C$281,'F0 - Données générales'!$K$32)</f>
        <v>0</v>
      </c>
      <c r="BN65" s="48">
        <f t="shared" si="44"/>
        <v>0</v>
      </c>
      <c r="BO65" s="187" t="str">
        <f t="shared" si="35"/>
        <v/>
      </c>
      <c r="BP65" s="188" t="str">
        <f>IF(BG65=0,"",(SUMPRODUCT(($D$4:$D$253=BD65)*($C$4:$C$253='F0 - Données générales'!$K$32)*($E$4:$E$253)*($F$4:$F$253))+SUMPRODUCT(($D$257:$D$281=BD65)*($C$257:$C$281='F0 - Données générales'!$K$32)*($E$257:$E$281)*($F$257:$F$281)))/(SUMIFS('F3 - Relevé du personnel'!$E$4:$E$281,'F3 - Relevé du personnel'!$D$4:$D$281,$BD65,'F3 - Relevé du personnel'!$C$4:$C$281,'F0 - Données générales'!$K$32)))</f>
        <v/>
      </c>
      <c r="BQ65" s="171"/>
      <c r="BR65" s="170"/>
    </row>
    <row r="66" spans="1:74" ht="15" customHeight="1" x14ac:dyDescent="0.3">
      <c r="A66" s="106">
        <v>63</v>
      </c>
      <c r="B66" s="324">
        <f>'F0 - Données générales'!$C$4</f>
        <v>7</v>
      </c>
      <c r="C66" s="106" t="s">
        <v>95</v>
      </c>
      <c r="D66" s="106"/>
      <c r="E66" s="107"/>
      <c r="F66" s="108"/>
      <c r="G66" s="109"/>
      <c r="H66" s="110">
        <f t="shared" si="5"/>
        <v>0</v>
      </c>
      <c r="I66" s="177"/>
      <c r="J66" s="118" t="str">
        <f>IF(OR(D66="",F66=""),"",(((HLOOKUP(D66,'Carrières et points'!$A$20:$AD$60,F66+2,FALSE)*'Carrières et points'!$C$7*'Carrières et points'!$C$9)+(HLOOKUP(D66,'Carrières et points'!$A$20:$AD$60,F66+2,FALSE)*'Carrières et points'!$C$13*'Carrières et points'!$C$15))*(1+'F0 - Données générales'!$I$4)+((HLOOKUP(D66,'Carrières et points'!$A$20:$AD$60,F66+2,FALSE)*'Carrières et points'!$C$7*'Carrières et points'!$C$9)+(HLOOKUP(D66,'Carrières et points'!$A$20:$AD$60,F66+2,FALSE)*'Carrières et points'!$C$13*'Carrières et points'!$C$15))/12*(1+'F0 - Données générales'!$L$13))*E66)</f>
        <v/>
      </c>
      <c r="K66" s="118" t="str">
        <f t="shared" si="6"/>
        <v/>
      </c>
      <c r="L66" s="109"/>
      <c r="M66" s="177"/>
      <c r="N66" s="118" t="str">
        <f t="shared" si="0"/>
        <v/>
      </c>
      <c r="O66" s="177"/>
      <c r="P66" s="177"/>
      <c r="Q66" s="177"/>
      <c r="R66" s="255" t="str">
        <f t="shared" si="7"/>
        <v/>
      </c>
      <c r="S66" s="120"/>
      <c r="T66" s="742" t="s">
        <v>61</v>
      </c>
      <c r="U66" s="742"/>
      <c r="V66" s="26" t="s">
        <v>100</v>
      </c>
      <c r="W66" s="741"/>
      <c r="X66" s="741"/>
      <c r="Y66" s="181">
        <f>SUMIFS('F3 - Relevé du personnel'!$E$4:$E$281,'F3 - Relevé du personnel'!$D$4:$D$281,$V66,'F3 - Relevé du personnel'!$C$4:$C$281,'F0 - Données générales'!$K$31,'F3 - Relevé du personnel'!$B$4:$B$281,"8.1")</f>
        <v>0</v>
      </c>
      <c r="Z66" s="181">
        <f>SUMIFS('F3 - Relevé du personnel'!$H$4:$H$281,'F3 - Relevé du personnel'!$D$4:$D$281,$V66,'F3 - Relevé du personnel'!$C$4:$C$281,'F0 - Données générales'!$K$31,'F3 - Relevé du personnel'!$B$4:$B$281,"8.1")</f>
        <v>0</v>
      </c>
      <c r="AA66" s="256">
        <f>SUMIFS('F3 - Relevé du personnel'!$I$4:$I$281,'F3 - Relevé du personnel'!$D$4:$D$281,$V66,'F3 - Relevé du personnel'!$C$4:$C$281,'F0 - Données générales'!$K$31,'F3 - Relevé du personnel'!$B$4:$B$281,"8.1")</f>
        <v>0</v>
      </c>
      <c r="AB66" s="256">
        <f>SUMIFS('F3 - Relevé du personnel'!$M$4:$M$281,'F3 - Relevé du personnel'!$D$4:$D$281,$V66,'F3 - Relevé du personnel'!$C$4:$C$281,'F0 - Données générales'!$K$31,'F3 - Relevé du personnel'!$B$4:$B$281,"8.1")</f>
        <v>0</v>
      </c>
      <c r="AC66" s="196">
        <f t="shared" si="26"/>
        <v>0</v>
      </c>
      <c r="AD66" s="256">
        <f>SUMIFS('F3 - Relevé du personnel'!$O$4:$O$281,'F3 - Relevé du personnel'!$D$4:$D$281,$V66,'F3 - Relevé du personnel'!$C$4:$C$281,'F0 - Données générales'!$K$31,'F3 - Relevé du personnel'!$B$4:$B$281,"8.1")</f>
        <v>0</v>
      </c>
      <c r="AE66" s="256">
        <f>SUMIFS('F3 - Relevé du personnel'!$P$4:$P$281,'F3 - Relevé du personnel'!$D$4:$D$281,$V66,'F3 - Relevé du personnel'!$C$4:$C$281,'F0 - Données générales'!$K$31,'F3 - Relevé du personnel'!$B$4:$B$281,"8.1")</f>
        <v>0</v>
      </c>
      <c r="AF66" s="256">
        <f>SUMIFS('F3 - Relevé du personnel'!$Q$4:$Q$281,'F3 - Relevé du personnel'!$D$4:$D$281,$V66,'F3 - Relevé du personnel'!$C$4:$C$281,'F0 - Données générales'!$K$31,'F3 - Relevé du personnel'!$B$4:$B$281,"8.1")</f>
        <v>0</v>
      </c>
      <c r="AG66" s="182">
        <f t="shared" si="27"/>
        <v>0</v>
      </c>
      <c r="AH66" s="197" t="str">
        <f t="shared" si="28"/>
        <v/>
      </c>
      <c r="AI66" s="198" t="str">
        <f>IF(Y66=0,"",(SUMPRODUCT(($D$4:$D$253=V66)*($C$4:$C$253='F0 - Données générales'!$K$31)*($E$4:$E$253)*($F$4:$F$253)*($B$4:$B$253="8.1"))+SUMPRODUCT(($D$257:$D$281=V66)*($C$257:$C$281='F0 - Données générales'!$K$31)*($B$257:$B$281="8.1")*($E$257:$E$281)*($F$257:$F$281)))/(SUMIFS('F3 - Relevé du personnel'!$E$4:$E$281,'F3 - Relevé du personnel'!$D$4:$D$281,$V66,'F3 - Relevé du personnel'!$C$4:$C$281,'F0 - Données générales'!$K$31,'F3 - Relevé du personnel'!$B$4:$B$281,"8.1")))</f>
        <v/>
      </c>
      <c r="AJ66" s="120"/>
      <c r="AK66" s="742" t="s">
        <v>61</v>
      </c>
      <c r="AL66" s="742"/>
      <c r="AM66" s="26" t="s">
        <v>100</v>
      </c>
      <c r="AN66" s="741"/>
      <c r="AO66" s="741"/>
      <c r="AP66" s="181">
        <f>SUMIFS('F3 - Relevé du personnel'!$E$4:$E$281,'F3 - Relevé du personnel'!$D$4:$D$281,$AM66,'F3 - Relevé du personnel'!$C$4:$C$281,'F0 - Données générales'!$K$31,'F3 - Relevé du personnel'!$B$4:$B$281,"psycho")</f>
        <v>0</v>
      </c>
      <c r="AQ66" s="181">
        <f>SUMIFS('F3 - Relevé du personnel'!$H$4:$H$281,'F3 - Relevé du personnel'!$D$4:$D$281,$AM66,'F3 - Relevé du personnel'!$C$4:$C$281,'F0 - Données générales'!$K$31,'F3 - Relevé du personnel'!$B$4:$B$281,"psycho")</f>
        <v>0</v>
      </c>
      <c r="AR66" s="256">
        <f>SUMIFS('F3 - Relevé du personnel'!$I$4:$I$281,'F3 - Relevé du personnel'!$D$4:$D$281,$AM66,'F3 - Relevé du personnel'!$C$4:$C$281,'F0 - Données générales'!$K$31,'F3 - Relevé du personnel'!$B$4:$B$281,"psycho")</f>
        <v>0</v>
      </c>
      <c r="AS66" s="256">
        <f>SUMIFS('F3 - Relevé du personnel'!$M$4:$M$281,'F3 - Relevé du personnel'!$D$4:$D$281,$AM66,'F3 - Relevé du personnel'!$C$4:$C$281,'F0 - Données générales'!$K$31,'F3 - Relevé du personnel'!$B$4:$B$281,"psycho")</f>
        <v>0</v>
      </c>
      <c r="AT66" s="196">
        <f t="shared" si="41"/>
        <v>0</v>
      </c>
      <c r="AU66" s="256">
        <f>SUMIFS('F3 - Relevé du personnel'!$O$4:$O$281,'F3 - Relevé du personnel'!$D$4:$D$281,$AM66,'F3 - Relevé du personnel'!$C$4:$C$281,'F0 - Données générales'!$K$31,'F3 - Relevé du personnel'!$B$4:$B$281,"psycho")</f>
        <v>0</v>
      </c>
      <c r="AV66" s="256">
        <f>SUMIFS('F3 - Relevé du personnel'!$P$4:$P$281,'F3 - Relevé du personnel'!$D$4:$D$281,$AM66,'F3 - Relevé du personnel'!$C$4:$C$281,'F0 - Données générales'!$K$31,'F3 - Relevé du personnel'!$B$4:$B$281,"psycho")</f>
        <v>0</v>
      </c>
      <c r="AW66" s="256">
        <f>SUMIFS('F3 - Relevé du personnel'!$Q$4:$Q$281,'F3 - Relevé du personnel'!$D$4:$D$281,$AM66,'F3 - Relevé du personnel'!$C$4:$C$281,'F0 - Données générales'!$K$31,'F3 - Relevé du personnel'!$B$4:$B$281,"psycho")</f>
        <v>0</v>
      </c>
      <c r="AX66" s="182">
        <f t="shared" si="42"/>
        <v>0</v>
      </c>
      <c r="AY66" s="197" t="str">
        <f t="shared" si="36"/>
        <v/>
      </c>
      <c r="AZ66" s="198" t="str">
        <f>IF(AP66=0,"",(SUMPRODUCT(($D$4:$D$253=AM66)*($C$4:$C$253='F0 - Données générales'!$K$31)*($E$4:$E$253)*($F$4:$F$253)*($B$4:$B$253="psycho"))+SUMPRODUCT(($D$257:$D$281=AM66)*($C$257:$C$281='F0 - Données générales'!$K$31)*($B$257:$B$281="psycho")*($E$257:$E$281)*($F$257:$F$281)))/(SUMIFS('F3 - Relevé du personnel'!$E$4:$E$281,'F3 - Relevé du personnel'!$D$4:$D$281,$AM66,'F3 - Relevé du personnel'!$C$4:$C$281,'F0 - Données générales'!$K$31,'F3 - Relevé du personnel'!$B$4:$B$281,"psycho")))</f>
        <v/>
      </c>
      <c r="BA66" s="120"/>
      <c r="BB66" s="760" t="s">
        <v>65</v>
      </c>
      <c r="BC66" s="761"/>
      <c r="BD66" s="13" t="s">
        <v>280</v>
      </c>
      <c r="BE66" s="758"/>
      <c r="BF66" s="759"/>
      <c r="BG66" s="45">
        <f>SUMIFS('F3 - Relevé du personnel'!$E$4:$E$281,'F3 - Relevé du personnel'!$D$4:$D$281,$BD66,'F3 - Relevé du personnel'!$C$4:$C$281,'F0 - Données générales'!$K$32)</f>
        <v>0</v>
      </c>
      <c r="BH66" s="259">
        <f>SUMIFS('F3 - Relevé du personnel'!$I$4:$I$281,'F3 - Relevé du personnel'!$D$4:$D$281,$BD66,'F3 - Relevé du personnel'!$C$4:$C$281,'F0 - Données générales'!$K$32)</f>
        <v>0</v>
      </c>
      <c r="BI66" s="259">
        <f>SUMIFS('F3 - Relevé du personnel'!$M$4:$M$281,'F3 - Relevé du personnel'!$D$4:$D$281,$BD66,'F3 - Relevé du personnel'!$C$4:$C$281,'F0 - Données générales'!$K$32)</f>
        <v>0</v>
      </c>
      <c r="BJ66" s="189">
        <f t="shared" si="33"/>
        <v>0</v>
      </c>
      <c r="BK66" s="259">
        <f>SUMIFS('F3 - Relevé du personnel'!$O$4:$O$281,'F3 - Relevé du personnel'!$D$4:$D$281,$BD66,'F3 - Relevé du personnel'!$C$4:$C$281,'F0 - Données générales'!$K$32)</f>
        <v>0</v>
      </c>
      <c r="BL66" s="259">
        <f>SUMIFS('F3 - Relevé du personnel'!$P$4:$P$281,'F3 - Relevé du personnel'!$D$4:$D$281,$BD66,'F3 - Relevé du personnel'!$C$4:$C$281,'F0 - Données générales'!$K$32)</f>
        <v>0</v>
      </c>
      <c r="BM66" s="259">
        <f>SUMIFS('F3 - Relevé du personnel'!$Q$4:$Q$281,'F3 - Relevé du personnel'!$D$4:$D$281,$BD66,'F3 - Relevé du personnel'!$C$4:$C$281,'F0 - Données générales'!$K$32)</f>
        <v>0</v>
      </c>
      <c r="BN66" s="48">
        <f t="shared" si="44"/>
        <v>0</v>
      </c>
      <c r="BO66" s="187" t="str">
        <f t="shared" si="35"/>
        <v/>
      </c>
      <c r="BP66" s="188" t="str">
        <f>IF(BG66=0,"",(SUMPRODUCT(($D$4:$D$253=BD66)*($C$4:$C$253='F0 - Données générales'!$K$32)*($E$4:$E$253)*($F$4:$F$253))+SUMPRODUCT(($D$257:$D$281=BD66)*($C$257:$C$281='F0 - Données générales'!$K$32)*($E$257:$E$281)*($F$257:$F$281)))/(SUMIFS('F3 - Relevé du personnel'!$E$4:$E$281,'F3 - Relevé du personnel'!$D$4:$D$281,$BD66,'F3 - Relevé du personnel'!$C$4:$C$281,'F0 - Données générales'!$K$32)))</f>
        <v/>
      </c>
      <c r="BQ66" s="171"/>
      <c r="BR66" s="170"/>
    </row>
    <row r="67" spans="1:74" ht="15" customHeight="1" x14ac:dyDescent="0.3">
      <c r="A67" s="106">
        <v>64</v>
      </c>
      <c r="B67" s="324">
        <f>'F0 - Données générales'!$C$4</f>
        <v>7</v>
      </c>
      <c r="C67" s="106" t="s">
        <v>95</v>
      </c>
      <c r="D67" s="106"/>
      <c r="E67" s="107"/>
      <c r="F67" s="108"/>
      <c r="G67" s="109"/>
      <c r="H67" s="110">
        <f t="shared" si="5"/>
        <v>0</v>
      </c>
      <c r="I67" s="177"/>
      <c r="J67" s="118" t="str">
        <f>IF(OR(D67="",F67=""),"",(((HLOOKUP(D67,'Carrières et points'!$A$20:$AD$60,F67+2,FALSE)*'Carrières et points'!$C$7*'Carrières et points'!$C$9)+(HLOOKUP(D67,'Carrières et points'!$A$20:$AD$60,F67+2,FALSE)*'Carrières et points'!$C$13*'Carrières et points'!$C$15))*(1+'F0 - Données générales'!$I$4)+((HLOOKUP(D67,'Carrières et points'!$A$20:$AD$60,F67+2,FALSE)*'Carrières et points'!$C$7*'Carrières et points'!$C$9)+(HLOOKUP(D67,'Carrières et points'!$A$20:$AD$60,F67+2,FALSE)*'Carrières et points'!$C$13*'Carrières et points'!$C$15))/12*(1+'F0 - Données générales'!$L$13))*E67)</f>
        <v/>
      </c>
      <c r="K67" s="118" t="str">
        <f t="shared" si="6"/>
        <v/>
      </c>
      <c r="L67" s="109"/>
      <c r="M67" s="177"/>
      <c r="N67" s="118" t="str">
        <f t="shared" si="0"/>
        <v/>
      </c>
      <c r="O67" s="177"/>
      <c r="P67" s="177"/>
      <c r="Q67" s="177"/>
      <c r="R67" s="255" t="str">
        <f t="shared" si="7"/>
        <v/>
      </c>
      <c r="S67" s="120"/>
      <c r="T67" s="743"/>
      <c r="U67" s="743"/>
      <c r="V67" s="749" t="s">
        <v>168</v>
      </c>
      <c r="W67" s="749"/>
      <c r="X67" s="749"/>
      <c r="Y67" s="199">
        <f>SUM(Y57:Y66)</f>
        <v>0</v>
      </c>
      <c r="Z67" s="199">
        <f>SUM(Z57:Z66)</f>
        <v>0</v>
      </c>
      <c r="AA67" s="200">
        <f>SUM(AA57:AA66)</f>
        <v>0</v>
      </c>
      <c r="AB67" s="200">
        <f>SUM(AB57:AB66)</f>
        <v>0</v>
      </c>
      <c r="AC67" s="200">
        <f t="shared" si="26"/>
        <v>0</v>
      </c>
      <c r="AD67" s="200">
        <f>SUM(AD57:AD66)</f>
        <v>0</v>
      </c>
      <c r="AE67" s="200">
        <f>SUM(AE57:AE66)</f>
        <v>0</v>
      </c>
      <c r="AF67" s="200">
        <f>SUM(AF57:AF66)</f>
        <v>0</v>
      </c>
      <c r="AG67" s="201">
        <f t="shared" si="27"/>
        <v>0</v>
      </c>
      <c r="AH67" s="201" t="str">
        <f t="shared" si="28"/>
        <v/>
      </c>
      <c r="AI67" s="202"/>
      <c r="AJ67" s="120"/>
      <c r="AK67" s="743"/>
      <c r="AL67" s="743"/>
      <c r="AM67" s="749" t="s">
        <v>168</v>
      </c>
      <c r="AN67" s="749"/>
      <c r="AO67" s="749"/>
      <c r="AP67" s="199">
        <f>SUM(AP57:AP66)</f>
        <v>0</v>
      </c>
      <c r="AQ67" s="199">
        <f>SUM(AQ57:AQ66)</f>
        <v>0</v>
      </c>
      <c r="AR67" s="200">
        <f>SUM(AR57:AR66)</f>
        <v>0</v>
      </c>
      <c r="AS67" s="200">
        <f>SUM(AS57:AS66)</f>
        <v>0</v>
      </c>
      <c r="AT67" s="200">
        <f>(AR67+AS67)</f>
        <v>0</v>
      </c>
      <c r="AU67" s="200">
        <f>SUM(AU57:AU66)</f>
        <v>0</v>
      </c>
      <c r="AV67" s="200">
        <f>SUM(AV57:AV66)</f>
        <v>0</v>
      </c>
      <c r="AW67" s="200">
        <f>SUM(AW57:AW66)</f>
        <v>0</v>
      </c>
      <c r="AX67" s="201">
        <f>AR67+AS67-SUM(AU67:AW67)</f>
        <v>0</v>
      </c>
      <c r="AY67" s="201" t="str">
        <f t="shared" si="36"/>
        <v/>
      </c>
      <c r="AZ67" s="202"/>
      <c r="BA67" s="120"/>
      <c r="BB67" s="760" t="s">
        <v>64</v>
      </c>
      <c r="BC67" s="761"/>
      <c r="BD67" s="13" t="s">
        <v>97</v>
      </c>
      <c r="BE67" s="758"/>
      <c r="BF67" s="759"/>
      <c r="BG67" s="45">
        <f>SUMIFS('F3 - Relevé du personnel'!$E$4:$E$281,'F3 - Relevé du personnel'!$D$4:$D$281,$BD67,'F3 - Relevé du personnel'!$C$4:$C$281,'F0 - Données générales'!$K$32)</f>
        <v>0</v>
      </c>
      <c r="BH67" s="259">
        <f>SUMIFS('F3 - Relevé du personnel'!$I$4:$I$281,'F3 - Relevé du personnel'!$D$4:$D$281,$BD67,'F3 - Relevé du personnel'!$C$4:$C$281,'F0 - Données générales'!$K$32)</f>
        <v>0</v>
      </c>
      <c r="BI67" s="259">
        <f>SUMIFS('F3 - Relevé du personnel'!$M$4:$M$281,'F3 - Relevé du personnel'!$D$4:$D$281,$BD67,'F3 - Relevé du personnel'!$C$4:$C$281,'F0 - Données générales'!$K$32)</f>
        <v>0</v>
      </c>
      <c r="BJ67" s="189">
        <f t="shared" si="33"/>
        <v>0</v>
      </c>
      <c r="BK67" s="259">
        <f>SUMIFS('F3 - Relevé du personnel'!$O$4:$O$281,'F3 - Relevé du personnel'!$D$4:$D$281,$BD67,'F3 - Relevé du personnel'!$C$4:$C$281,'F0 - Données générales'!$K$32)</f>
        <v>0</v>
      </c>
      <c r="BL67" s="259">
        <f>SUMIFS('F3 - Relevé du personnel'!$P$4:$P$281,'F3 - Relevé du personnel'!$D$4:$D$281,$BD67,'F3 - Relevé du personnel'!$C$4:$C$281,'F0 - Données générales'!$K$32)</f>
        <v>0</v>
      </c>
      <c r="BM67" s="259">
        <f>SUMIFS('F3 - Relevé du personnel'!$Q$4:$Q$281,'F3 - Relevé du personnel'!$D$4:$D$281,$BD67,'F3 - Relevé du personnel'!$C$4:$C$281,'F0 - Données générales'!$K$32)</f>
        <v>0</v>
      </c>
      <c r="BN67" s="48">
        <f t="shared" si="44"/>
        <v>0</v>
      </c>
      <c r="BO67" s="187" t="str">
        <f t="shared" si="35"/>
        <v/>
      </c>
      <c r="BP67" s="188" t="str">
        <f>IF(BG67=0,"",(SUMPRODUCT(($D$4:$D$253=BD67)*($C$4:$C$253='F0 - Données générales'!$K$32)*($E$4:$E$253)*($F$4:$F$253))+SUMPRODUCT(($D$257:$D$281=BD67)*($C$257:$C$281='F0 - Données générales'!$K$32)*($E$257:$E$281)*($F$257:$F$281)))/(SUMIFS('F3 - Relevé du personnel'!$E$4:$E$281,'F3 - Relevé du personnel'!$D$4:$D$281,$BD67,'F3 - Relevé du personnel'!$C$4:$C$281,'F0 - Données générales'!$K$32)))</f>
        <v/>
      </c>
      <c r="BQ67" s="171"/>
      <c r="BR67" s="170"/>
    </row>
    <row r="68" spans="1:74" ht="15" customHeight="1" x14ac:dyDescent="0.3">
      <c r="A68" s="106">
        <v>65</v>
      </c>
      <c r="B68" s="324">
        <f>'F0 - Données générales'!$C$4</f>
        <v>7</v>
      </c>
      <c r="C68" s="106" t="s">
        <v>95</v>
      </c>
      <c r="D68" s="106"/>
      <c r="E68" s="107"/>
      <c r="F68" s="108"/>
      <c r="G68" s="109"/>
      <c r="H68" s="110">
        <f t="shared" si="5"/>
        <v>0</v>
      </c>
      <c r="I68" s="177"/>
      <c r="J68" s="118" t="str">
        <f>IF(OR(D68="",F68=""),"",(((HLOOKUP(D68,'Carrières et points'!$A$20:$AD$60,F68+2,FALSE)*'Carrières et points'!$C$7*'Carrières et points'!$C$9)+(HLOOKUP(D68,'Carrières et points'!$A$20:$AD$60,F68+2,FALSE)*'Carrières et points'!$C$13*'Carrières et points'!$C$15))*(1+'F0 - Données générales'!$I$4)+((HLOOKUP(D68,'Carrières et points'!$A$20:$AD$60,F68+2,FALSE)*'Carrières et points'!$C$7*'Carrières et points'!$C$9)+(HLOOKUP(D68,'Carrières et points'!$A$20:$AD$60,F68+2,FALSE)*'Carrières et points'!$C$13*'Carrières et points'!$C$15))/12*(1+'F0 - Données générales'!$L$13))*E68)</f>
        <v/>
      </c>
      <c r="K68" s="118" t="str">
        <f t="shared" si="6"/>
        <v/>
      </c>
      <c r="L68" s="109"/>
      <c r="M68" s="177"/>
      <c r="N68" s="118" t="str">
        <f t="shared" si="0"/>
        <v/>
      </c>
      <c r="O68" s="177"/>
      <c r="P68" s="177"/>
      <c r="Q68" s="177"/>
      <c r="R68" s="255" t="str">
        <f t="shared" si="7"/>
        <v/>
      </c>
      <c r="S68" s="120"/>
      <c r="T68" s="750" t="s">
        <v>57</v>
      </c>
      <c r="U68" s="750"/>
      <c r="V68" s="750"/>
      <c r="W68" s="750"/>
      <c r="X68" s="750"/>
      <c r="Y68" s="183">
        <f t="shared" ref="Y68:AG68" si="45">Y47+Y54+Y56+Y67</f>
        <v>0</v>
      </c>
      <c r="Z68" s="183">
        <f t="shared" si="45"/>
        <v>0</v>
      </c>
      <c r="AA68" s="184">
        <f t="shared" si="45"/>
        <v>0</v>
      </c>
      <c r="AB68" s="184">
        <f t="shared" si="45"/>
        <v>0</v>
      </c>
      <c r="AC68" s="184">
        <f t="shared" si="45"/>
        <v>0</v>
      </c>
      <c r="AD68" s="184">
        <f t="shared" si="45"/>
        <v>0</v>
      </c>
      <c r="AE68" s="184">
        <f t="shared" si="45"/>
        <v>0</v>
      </c>
      <c r="AF68" s="184">
        <f t="shared" si="45"/>
        <v>0</v>
      </c>
      <c r="AG68" s="185">
        <f t="shared" si="45"/>
        <v>0</v>
      </c>
      <c r="AH68" s="185" t="str">
        <f t="shared" si="28"/>
        <v/>
      </c>
      <c r="AI68" s="186" t="str">
        <f>IF(Y68=0,"",(SUMPRODUCT(($C$4:$C$253='F0 - Données générales'!$K$31)*($E$4:$E$253)*($F$4:$F$253)*($B$4:$B$253="8.1"))+SUMPRODUCT(($C$257:$C$281='F0 - Données générales'!$K$31)*($B$257:$B$281="8.1")*($E$257:$E$281)*($F$257:$F$281)))/(SUMIFS('F3 - Relevé du personnel'!$E$4:$E$281,'F3 - Relevé du personnel'!$C$4:$C$281,'F0 - Données générales'!$K$31,'F3 - Relevé du personnel'!$B$4:$B$281,"8.1")))</f>
        <v/>
      </c>
      <c r="AJ68" s="120"/>
      <c r="AK68" s="750" t="s">
        <v>57</v>
      </c>
      <c r="AL68" s="750"/>
      <c r="AM68" s="750"/>
      <c r="AN68" s="750"/>
      <c r="AO68" s="750"/>
      <c r="AP68" s="183">
        <f t="shared" ref="AP68:AX68" si="46">AP47+AP54+AP56+AP67</f>
        <v>0</v>
      </c>
      <c r="AQ68" s="183">
        <f t="shared" si="46"/>
        <v>0</v>
      </c>
      <c r="AR68" s="184">
        <f t="shared" si="46"/>
        <v>0</v>
      </c>
      <c r="AS68" s="184">
        <f t="shared" si="46"/>
        <v>0</v>
      </c>
      <c r="AT68" s="184">
        <f t="shared" si="46"/>
        <v>0</v>
      </c>
      <c r="AU68" s="184">
        <f t="shared" si="46"/>
        <v>0</v>
      </c>
      <c r="AV68" s="184">
        <f t="shared" si="46"/>
        <v>0</v>
      </c>
      <c r="AW68" s="184">
        <f t="shared" si="46"/>
        <v>0</v>
      </c>
      <c r="AX68" s="185">
        <f t="shared" si="46"/>
        <v>0</v>
      </c>
      <c r="AY68" s="185" t="str">
        <f t="shared" si="36"/>
        <v/>
      </c>
      <c r="AZ68" s="186" t="str">
        <f>IF(AP68=0,"",(SUMPRODUCT(($C$4:$C$253='F0 - Données générales'!$K$31)*($E$4:$E$253)*($F$4:$F$253)*($B$4:$B$253="psycho"))+SUMPRODUCT(($C$257:$C$281='F0 - Données générales'!$K$31)*($B$257:$B$281="psycho")*($E$257:$E$281)*($F$257:$F$281)))/(SUMIFS('F3 - Relevé du personnel'!$E$4:$E$281,'F3 - Relevé du personnel'!$C$4:$C$281,'F0 - Données générales'!$K$31,'F3 - Relevé du personnel'!$B$4:$B$281,"psycho")))</f>
        <v/>
      </c>
      <c r="BA68" s="120"/>
      <c r="BB68" s="760" t="s">
        <v>61</v>
      </c>
      <c r="BC68" s="761"/>
      <c r="BD68" s="13" t="s">
        <v>98</v>
      </c>
      <c r="BE68" s="758"/>
      <c r="BF68" s="759"/>
      <c r="BG68" s="45">
        <f>SUMIFS('F3 - Relevé du personnel'!$E$4:$E$281,'F3 - Relevé du personnel'!$D$4:$D$281,$BD68,'F3 - Relevé du personnel'!$C$4:$C$281,'F0 - Données générales'!$K$32)</f>
        <v>0</v>
      </c>
      <c r="BH68" s="259">
        <f>SUMIFS('F3 - Relevé du personnel'!$I$4:$I$281,'F3 - Relevé du personnel'!$D$4:$D$281,$BD68,'F3 - Relevé du personnel'!$C$4:$C$281,'F0 - Données générales'!$K$32)</f>
        <v>0</v>
      </c>
      <c r="BI68" s="259">
        <f>SUMIFS('F3 - Relevé du personnel'!$M$4:$M$281,'F3 - Relevé du personnel'!$D$4:$D$281,$BD68,'F3 - Relevé du personnel'!$C$4:$C$281,'F0 - Données générales'!$K$32)</f>
        <v>0</v>
      </c>
      <c r="BJ68" s="189">
        <f t="shared" si="33"/>
        <v>0</v>
      </c>
      <c r="BK68" s="259">
        <f>SUMIFS('F3 - Relevé du personnel'!$O$4:$O$281,'F3 - Relevé du personnel'!$D$4:$D$281,$BD68,'F3 - Relevé du personnel'!$C$4:$C$281,'F0 - Données générales'!$K$32)</f>
        <v>0</v>
      </c>
      <c r="BL68" s="259">
        <f>SUMIFS('F3 - Relevé du personnel'!$P$4:$P$281,'F3 - Relevé du personnel'!$D$4:$D$281,$BD68,'F3 - Relevé du personnel'!$C$4:$C$281,'F0 - Données générales'!$K$32)</f>
        <v>0</v>
      </c>
      <c r="BM68" s="259">
        <f>SUMIFS('F3 - Relevé du personnel'!$Q$4:$Q$281,'F3 - Relevé du personnel'!$D$4:$D$281,$BD68,'F3 - Relevé du personnel'!$C$4:$C$281,'F0 - Données générales'!$K$32)</f>
        <v>0</v>
      </c>
      <c r="BN68" s="48">
        <f t="shared" si="44"/>
        <v>0</v>
      </c>
      <c r="BO68" s="187" t="str">
        <f t="shared" si="35"/>
        <v/>
      </c>
      <c r="BP68" s="188" t="str">
        <f>IF(BG68=0,"",(SUMPRODUCT(($D$4:$D$253=BD68)*($C$4:$C$253='F0 - Données générales'!$K$32)*($E$4:$E$253)*($F$4:$F$253))+SUMPRODUCT(($D$257:$D$281=BD68)*($C$257:$C$281='F0 - Données générales'!$K$32)*($E$257:$E$281)*($F$257:$F$281)))/(SUMIFS('F3 - Relevé du personnel'!$E$4:$E$281,'F3 - Relevé du personnel'!$D$4:$D$281,$BD68,'F3 - Relevé du personnel'!$C$4:$C$281,'F0 - Données générales'!$K$32)))</f>
        <v/>
      </c>
      <c r="BQ68" s="171"/>
      <c r="BR68" s="170"/>
    </row>
    <row r="69" spans="1:74" ht="15" customHeight="1" x14ac:dyDescent="0.3">
      <c r="A69" s="106">
        <v>66</v>
      </c>
      <c r="B69" s="324">
        <f>'F0 - Données générales'!$C$4</f>
        <v>7</v>
      </c>
      <c r="C69" s="106" t="s">
        <v>95</v>
      </c>
      <c r="D69" s="106"/>
      <c r="E69" s="107"/>
      <c r="F69" s="108"/>
      <c r="G69" s="109"/>
      <c r="H69" s="110">
        <f t="shared" ref="H69:H132" si="47">E69-G69/2076</f>
        <v>0</v>
      </c>
      <c r="I69" s="177"/>
      <c r="J69" s="118" t="str">
        <f>IF(OR(D69="",F69=""),"",(((HLOOKUP(D69,'Carrières et points'!$A$20:$AD$60,F69+2,FALSE)*'Carrières et points'!$C$7*'Carrières et points'!$C$9)+(HLOOKUP(D69,'Carrières et points'!$A$20:$AD$60,F69+2,FALSE)*'Carrières et points'!$C$13*'Carrières et points'!$C$15))*(1+'F0 - Données générales'!$I$4)+((HLOOKUP(D69,'Carrières et points'!$A$20:$AD$60,F69+2,FALSE)*'Carrières et points'!$C$7*'Carrières et points'!$C$9)+(HLOOKUP(D69,'Carrières et points'!$A$20:$AD$60,F69+2,FALSE)*'Carrières et points'!$C$13*'Carrières et points'!$C$15))/12*(1+'F0 - Données générales'!$L$13))*E69)</f>
        <v/>
      </c>
      <c r="K69" s="118" t="str">
        <f t="shared" ref="K69:K132" si="48">IF(OR(I69="",J69=""),"",IF(OR(J69&gt;1.05*I69,J69&lt;0.95*I69),"à justifier","ok"))</f>
        <v/>
      </c>
      <c r="L69" s="109"/>
      <c r="M69" s="177"/>
      <c r="N69" s="118" t="str">
        <f t="shared" ref="N69:N132" si="49">IF(I69="","",I69+M69)</f>
        <v/>
      </c>
      <c r="O69" s="177"/>
      <c r="P69" s="177"/>
      <c r="Q69" s="177"/>
      <c r="R69" s="255" t="str">
        <f t="shared" ref="R69:R132" si="50">IF(N69="","",N69-SUM(O69:Q69))</f>
        <v/>
      </c>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760" t="s">
        <v>61</v>
      </c>
      <c r="BC69" s="761"/>
      <c r="BD69" s="13" t="s">
        <v>319</v>
      </c>
      <c r="BE69" s="758"/>
      <c r="BF69" s="759"/>
      <c r="BG69" s="45">
        <f>SUMIFS('F3 - Relevé du personnel'!$E$4:$E$281,'F3 - Relevé du personnel'!$D$4:$D$281,$BD69,'F3 - Relevé du personnel'!$C$4:$C$281,'F0 - Données générales'!$K$32)</f>
        <v>0</v>
      </c>
      <c r="BH69" s="259">
        <f>SUMIFS('F3 - Relevé du personnel'!$I$4:$I$281,'F3 - Relevé du personnel'!$D$4:$D$281,$BD69,'F3 - Relevé du personnel'!$C$4:$C$281,'F0 - Données générales'!$K$32)</f>
        <v>0</v>
      </c>
      <c r="BI69" s="259">
        <f>SUMIFS('F3 - Relevé du personnel'!$M$4:$M$281,'F3 - Relevé du personnel'!$D$4:$D$281,$BD69,'F3 - Relevé du personnel'!$C$4:$C$281,'F0 - Données générales'!$K$32)</f>
        <v>0</v>
      </c>
      <c r="BJ69" s="189">
        <f t="shared" si="33"/>
        <v>0</v>
      </c>
      <c r="BK69" s="259">
        <f>SUMIFS('F3 - Relevé du personnel'!$O$4:$O$281,'F3 - Relevé du personnel'!$D$4:$D$281,$BD69,'F3 - Relevé du personnel'!$C$4:$C$281,'F0 - Données générales'!$K$32)</f>
        <v>0</v>
      </c>
      <c r="BL69" s="259">
        <f>SUMIFS('F3 - Relevé du personnel'!$P$4:$P$281,'F3 - Relevé du personnel'!$D$4:$D$281,$BD69,'F3 - Relevé du personnel'!$C$4:$C$281,'F0 - Données générales'!$K$32)</f>
        <v>0</v>
      </c>
      <c r="BM69" s="259">
        <f>SUMIFS('F3 - Relevé du personnel'!$Q$4:$Q$281,'F3 - Relevé du personnel'!$D$4:$D$281,$BD69,'F3 - Relevé du personnel'!$C$4:$C$281,'F0 - Données générales'!$K$32)</f>
        <v>0</v>
      </c>
      <c r="BN69" s="48">
        <f t="shared" si="44"/>
        <v>0</v>
      </c>
      <c r="BO69" s="187" t="str">
        <f t="shared" si="35"/>
        <v/>
      </c>
      <c r="BP69" s="188" t="str">
        <f>IF(BG69=0,"",(SUMPRODUCT(($D$4:$D$253=BD69)*($C$4:$C$253='F0 - Données générales'!$K$32)*($E$4:$E$253)*($F$4:$F$253))+SUMPRODUCT(($D$257:$D$281=BD69)*($C$257:$C$281='F0 - Données générales'!$K$32)*($E$257:$E$281)*($F$257:$F$281)))/(SUMIFS('F3 - Relevé du personnel'!$E$4:$E$281,'F3 - Relevé du personnel'!$D$4:$D$281,$BD69,'F3 - Relevé du personnel'!$C$4:$C$281,'F0 - Données générales'!$K$32)))</f>
        <v/>
      </c>
      <c r="BQ69" s="171"/>
      <c r="BR69" s="170"/>
    </row>
    <row r="70" spans="1:74" ht="15" customHeight="1" x14ac:dyDescent="0.3">
      <c r="A70" s="106">
        <v>67</v>
      </c>
      <c r="B70" s="324">
        <f>'F0 - Données générales'!$C$4</f>
        <v>7</v>
      </c>
      <c r="C70" s="106" t="s">
        <v>95</v>
      </c>
      <c r="D70" s="106"/>
      <c r="E70" s="107"/>
      <c r="F70" s="108"/>
      <c r="G70" s="109"/>
      <c r="H70" s="110">
        <f t="shared" si="47"/>
        <v>0</v>
      </c>
      <c r="I70" s="177"/>
      <c r="J70" s="118" t="str">
        <f>IF(OR(D70="",F70=""),"",(((HLOOKUP(D70,'Carrières et points'!$A$20:$AD$60,F70+2,FALSE)*'Carrières et points'!$C$7*'Carrières et points'!$C$9)+(HLOOKUP(D70,'Carrières et points'!$A$20:$AD$60,F70+2,FALSE)*'Carrières et points'!$C$13*'Carrières et points'!$C$15))*(1+'F0 - Données générales'!$I$4)+((HLOOKUP(D70,'Carrières et points'!$A$20:$AD$60,F70+2,FALSE)*'Carrières et points'!$C$7*'Carrières et points'!$C$9)+(HLOOKUP(D70,'Carrières et points'!$A$20:$AD$60,F70+2,FALSE)*'Carrières et points'!$C$13*'Carrières et points'!$C$15))/12*(1+'F0 - Données générales'!$L$13))*E70)</f>
        <v/>
      </c>
      <c r="K70" s="118" t="str">
        <f t="shared" si="48"/>
        <v/>
      </c>
      <c r="L70" s="109"/>
      <c r="M70" s="177"/>
      <c r="N70" s="118" t="str">
        <f t="shared" si="49"/>
        <v/>
      </c>
      <c r="O70" s="177"/>
      <c r="P70" s="177"/>
      <c r="Q70" s="177"/>
      <c r="R70" s="255" t="str">
        <f t="shared" si="50"/>
        <v/>
      </c>
      <c r="S70" s="120"/>
      <c r="T70" s="1" t="s">
        <v>423</v>
      </c>
      <c r="U70" s="1"/>
      <c r="V70" s="1"/>
      <c r="W70"/>
      <c r="X70"/>
      <c r="Y70"/>
      <c r="Z70"/>
      <c r="AA70"/>
      <c r="AB70"/>
      <c r="AC70"/>
      <c r="AD70"/>
      <c r="AE70"/>
      <c r="AF70"/>
      <c r="AG70"/>
      <c r="AH70"/>
      <c r="AI70"/>
      <c r="AJ70" s="120"/>
      <c r="AK70" s="1" t="s">
        <v>429</v>
      </c>
      <c r="AL70" s="1"/>
      <c r="AM70" s="1"/>
      <c r="AN70"/>
      <c r="AO70"/>
      <c r="AP70"/>
      <c r="AQ70"/>
      <c r="AR70"/>
      <c r="AS70"/>
      <c r="AT70"/>
      <c r="AU70"/>
      <c r="AV70"/>
      <c r="AW70"/>
      <c r="AX70"/>
      <c r="AY70"/>
      <c r="AZ70"/>
      <c r="BA70" s="120"/>
      <c r="BB70" s="760" t="s">
        <v>61</v>
      </c>
      <c r="BC70" s="761"/>
      <c r="BD70" s="13" t="s">
        <v>99</v>
      </c>
      <c r="BE70" s="758"/>
      <c r="BF70" s="759"/>
      <c r="BG70" s="45">
        <f>SUMIFS('F3 - Relevé du personnel'!$E$4:$E$281,'F3 - Relevé du personnel'!$D$4:$D$281,$BD70,'F3 - Relevé du personnel'!$C$4:$C$281,'F0 - Données générales'!$K$32)</f>
        <v>0</v>
      </c>
      <c r="BH70" s="259">
        <f>SUMIFS('F3 - Relevé du personnel'!$I$4:$I$281,'F3 - Relevé du personnel'!$D$4:$D$281,$BD70,'F3 - Relevé du personnel'!$C$4:$C$281,'F0 - Données générales'!$K$32)</f>
        <v>0</v>
      </c>
      <c r="BI70" s="259">
        <f>SUMIFS('F3 - Relevé du personnel'!$M$4:$M$281,'F3 - Relevé du personnel'!$D$4:$D$281,$BD70,'F3 - Relevé du personnel'!$C$4:$C$281,'F0 - Données générales'!$K$32)</f>
        <v>0</v>
      </c>
      <c r="BJ70" s="189">
        <f t="shared" si="33"/>
        <v>0</v>
      </c>
      <c r="BK70" s="259">
        <f>SUMIFS('F3 - Relevé du personnel'!$O$4:$O$281,'F3 - Relevé du personnel'!$D$4:$D$281,$BD70,'F3 - Relevé du personnel'!$C$4:$C$281,'F0 - Données générales'!$K$32)</f>
        <v>0</v>
      </c>
      <c r="BL70" s="259">
        <f>SUMIFS('F3 - Relevé du personnel'!$P$4:$P$281,'F3 - Relevé du personnel'!$D$4:$D$281,$BD70,'F3 - Relevé du personnel'!$C$4:$C$281,'F0 - Données générales'!$K$32)</f>
        <v>0</v>
      </c>
      <c r="BM70" s="259">
        <f>SUMIFS('F3 - Relevé du personnel'!$Q$4:$Q$281,'F3 - Relevé du personnel'!$D$4:$D$281,$BD70,'F3 - Relevé du personnel'!$C$4:$C$281,'F0 - Données générales'!$K$32)</f>
        <v>0</v>
      </c>
      <c r="BN70" s="48">
        <f t="shared" si="44"/>
        <v>0</v>
      </c>
      <c r="BO70" s="187" t="str">
        <f t="shared" si="35"/>
        <v/>
      </c>
      <c r="BP70" s="188" t="str">
        <f>IF(BG70=0,"",(SUMPRODUCT(($D$4:$D$253=BD70)*($C$4:$C$253='F0 - Données générales'!$K$32)*($E$4:$E$253)*($F$4:$F$253))+SUMPRODUCT(($D$257:$D$281=BD70)*($C$257:$C$281='F0 - Données générales'!$K$32)*($E$257:$E$281)*($F$257:$F$281)))/(SUMIFS('F3 - Relevé du personnel'!$E$4:$E$281,'F3 - Relevé du personnel'!$D$4:$D$281,$BD70,'F3 - Relevé du personnel'!$C$4:$C$281,'F0 - Données générales'!$K$32)))</f>
        <v/>
      </c>
      <c r="BQ70" s="171"/>
      <c r="BR70" s="170"/>
    </row>
    <row r="71" spans="1:74" ht="15" customHeight="1" x14ac:dyDescent="0.3">
      <c r="A71" s="106">
        <v>68</v>
      </c>
      <c r="B71" s="324">
        <f>'F0 - Données générales'!$C$4</f>
        <v>7</v>
      </c>
      <c r="C71" s="106" t="s">
        <v>95</v>
      </c>
      <c r="D71" s="106"/>
      <c r="E71" s="107"/>
      <c r="F71" s="108"/>
      <c r="G71" s="109"/>
      <c r="H71" s="110">
        <f t="shared" si="47"/>
        <v>0</v>
      </c>
      <c r="I71" s="177"/>
      <c r="J71" s="118" t="str">
        <f>IF(OR(D71="",F71=""),"",(((HLOOKUP(D71,'Carrières et points'!$A$20:$AD$60,F71+2,FALSE)*'Carrières et points'!$C$7*'Carrières et points'!$C$9)+(HLOOKUP(D71,'Carrières et points'!$A$20:$AD$60,F71+2,FALSE)*'Carrières et points'!$C$13*'Carrières et points'!$C$15))*(1+'F0 - Données générales'!$I$4)+((HLOOKUP(D71,'Carrières et points'!$A$20:$AD$60,F71+2,FALSE)*'Carrières et points'!$C$7*'Carrières et points'!$C$9)+(HLOOKUP(D71,'Carrières et points'!$A$20:$AD$60,F71+2,FALSE)*'Carrières et points'!$C$13*'Carrières et points'!$C$15))/12*(1+'F0 - Données générales'!$L$13))*E71)</f>
        <v/>
      </c>
      <c r="K71" s="118" t="str">
        <f t="shared" si="48"/>
        <v/>
      </c>
      <c r="L71" s="109"/>
      <c r="M71" s="177"/>
      <c r="N71" s="118" t="str">
        <f t="shared" si="49"/>
        <v/>
      </c>
      <c r="O71" s="177"/>
      <c r="P71" s="177"/>
      <c r="Q71" s="177"/>
      <c r="R71" s="255" t="str">
        <f t="shared" si="50"/>
        <v/>
      </c>
      <c r="S71" s="120"/>
      <c r="T71" s="747" t="s">
        <v>58</v>
      </c>
      <c r="U71" s="747"/>
      <c r="V71" s="747" t="s">
        <v>55</v>
      </c>
      <c r="W71" s="747"/>
      <c r="X71" s="747"/>
      <c r="Y71" s="298" t="s">
        <v>403</v>
      </c>
      <c r="Z71" s="298" t="s">
        <v>404</v>
      </c>
      <c r="AA71" s="298" t="s">
        <v>299</v>
      </c>
      <c r="AB71" s="298" t="s">
        <v>304</v>
      </c>
      <c r="AC71" s="298" t="s">
        <v>733</v>
      </c>
      <c r="AD71" s="298" t="s">
        <v>284</v>
      </c>
      <c r="AE71" s="298" t="s">
        <v>323</v>
      </c>
      <c r="AF71" s="298" t="s">
        <v>60</v>
      </c>
      <c r="AG71" s="298" t="s">
        <v>734</v>
      </c>
      <c r="AH71" s="298" t="s">
        <v>735</v>
      </c>
      <c r="AI71" s="298" t="s">
        <v>313</v>
      </c>
      <c r="AJ71" s="120"/>
      <c r="AK71" s="747" t="s">
        <v>58</v>
      </c>
      <c r="AL71" s="747"/>
      <c r="AM71" s="747" t="s">
        <v>55</v>
      </c>
      <c r="AN71" s="747"/>
      <c r="AO71" s="747"/>
      <c r="AP71" s="298" t="s">
        <v>403</v>
      </c>
      <c r="AQ71" s="298" t="s">
        <v>404</v>
      </c>
      <c r="AR71" s="298" t="s">
        <v>299</v>
      </c>
      <c r="AS71" s="298" t="s">
        <v>304</v>
      </c>
      <c r="AT71" s="298" t="s">
        <v>733</v>
      </c>
      <c r="AU71" s="298" t="s">
        <v>284</v>
      </c>
      <c r="AV71" s="298" t="s">
        <v>323</v>
      </c>
      <c r="AW71" s="298" t="s">
        <v>60</v>
      </c>
      <c r="AX71" s="298" t="s">
        <v>734</v>
      </c>
      <c r="AY71" s="298" t="s">
        <v>735</v>
      </c>
      <c r="AZ71" s="298" t="s">
        <v>313</v>
      </c>
      <c r="BA71" s="120"/>
      <c r="BB71" s="760" t="s">
        <v>61</v>
      </c>
      <c r="BC71" s="761"/>
      <c r="BD71" s="13" t="s">
        <v>100</v>
      </c>
      <c r="BE71" s="758"/>
      <c r="BF71" s="759"/>
      <c r="BG71" s="45">
        <f>SUMIFS('F3 - Relevé du personnel'!$E$4:$E$281,'F3 - Relevé du personnel'!$D$4:$D$281,$BD71,'F3 - Relevé du personnel'!$C$4:$C$281,'F0 - Données générales'!$K$32)</f>
        <v>0</v>
      </c>
      <c r="BH71" s="259">
        <f>SUMIFS('F3 - Relevé du personnel'!$I$4:$I$281,'F3 - Relevé du personnel'!$D$4:$D$281,$BD71,'F3 - Relevé du personnel'!$C$4:$C$281,'F0 - Données générales'!$K$32)</f>
        <v>0</v>
      </c>
      <c r="BI71" s="259">
        <f>SUMIFS('F3 - Relevé du personnel'!$M$4:$M$281,'F3 - Relevé du personnel'!$D$4:$D$281,$BD71,'F3 - Relevé du personnel'!$C$4:$C$281,'F0 - Données générales'!$K$32)</f>
        <v>0</v>
      </c>
      <c r="BJ71" s="189">
        <f t="shared" si="33"/>
        <v>0</v>
      </c>
      <c r="BK71" s="259">
        <f>SUMIFS('F3 - Relevé du personnel'!$O$4:$O$281,'F3 - Relevé du personnel'!$D$4:$D$281,$BD71,'F3 - Relevé du personnel'!$C$4:$C$281,'F0 - Données générales'!$K$32)</f>
        <v>0</v>
      </c>
      <c r="BL71" s="259">
        <f>SUMIFS('F3 - Relevé du personnel'!$P$4:$P$281,'F3 - Relevé du personnel'!$D$4:$D$281,$BD71,'F3 - Relevé du personnel'!$C$4:$C$281,'F0 - Données générales'!$K$32)</f>
        <v>0</v>
      </c>
      <c r="BM71" s="259">
        <f>SUMIFS('F3 - Relevé du personnel'!$Q$4:$Q$281,'F3 - Relevé du personnel'!$D$4:$D$281,$BD71,'F3 - Relevé du personnel'!$C$4:$C$281,'F0 - Données générales'!$K$32)</f>
        <v>0</v>
      </c>
      <c r="BN71" s="48">
        <f t="shared" si="44"/>
        <v>0</v>
      </c>
      <c r="BO71" s="187" t="str">
        <f t="shared" si="35"/>
        <v/>
      </c>
      <c r="BP71" s="188" t="str">
        <f>IF(BG71=0,"",(SUMPRODUCT(($D$4:$D$253=BD71)*($C$4:$C$253='F0 - Données générales'!$K$32)*($E$4:$E$253)*($F$4:$F$253))+SUMPRODUCT(($D$257:$D$281=BD71)*($C$257:$C$281='F0 - Données générales'!$K$32)*($E$257:$E$281)*($F$257:$F$281)))/(SUMIFS('F3 - Relevé du personnel'!$E$4:$E$281,'F3 - Relevé du personnel'!$D$4:$D$281,$BD71,'F3 - Relevé du personnel'!$C$4:$C$281,'F0 - Données générales'!$K$32)))</f>
        <v/>
      </c>
      <c r="BQ71" s="171"/>
      <c r="BR71" s="170"/>
    </row>
    <row r="72" spans="1:74" ht="15" customHeight="1" x14ac:dyDescent="0.3">
      <c r="A72" s="106">
        <v>69</v>
      </c>
      <c r="B72" s="324">
        <f>'F0 - Données générales'!$C$4</f>
        <v>7</v>
      </c>
      <c r="C72" s="106" t="s">
        <v>95</v>
      </c>
      <c r="D72" s="106"/>
      <c r="E72" s="107"/>
      <c r="F72" s="108"/>
      <c r="G72" s="109"/>
      <c r="H72" s="110">
        <f t="shared" si="47"/>
        <v>0</v>
      </c>
      <c r="I72" s="177"/>
      <c r="J72" s="118" t="str">
        <f>IF(OR(D72="",F72=""),"",(((HLOOKUP(D72,'Carrières et points'!$A$20:$AD$60,F72+2,FALSE)*'Carrières et points'!$C$7*'Carrières et points'!$C$9)+(HLOOKUP(D72,'Carrières et points'!$A$20:$AD$60,F72+2,FALSE)*'Carrières et points'!$C$13*'Carrières et points'!$C$15))*(1+'F0 - Données générales'!$I$4)+((HLOOKUP(D72,'Carrières et points'!$A$20:$AD$60,F72+2,FALSE)*'Carrières et points'!$C$7*'Carrières et points'!$C$9)+(HLOOKUP(D72,'Carrières et points'!$A$20:$AD$60,F72+2,FALSE)*'Carrières et points'!$C$13*'Carrières et points'!$C$15))/12*(1+'F0 - Données générales'!$L$13))*E72)</f>
        <v/>
      </c>
      <c r="K72" s="118" t="str">
        <f t="shared" si="48"/>
        <v/>
      </c>
      <c r="L72" s="109"/>
      <c r="M72" s="177"/>
      <c r="N72" s="118" t="str">
        <f t="shared" si="49"/>
        <v/>
      </c>
      <c r="O72" s="177"/>
      <c r="P72" s="177"/>
      <c r="Q72" s="177"/>
      <c r="R72" s="255" t="str">
        <f t="shared" si="50"/>
        <v/>
      </c>
      <c r="S72" s="120"/>
      <c r="T72" s="742" t="s">
        <v>61</v>
      </c>
      <c r="U72" s="742"/>
      <c r="V72" s="26" t="s">
        <v>62</v>
      </c>
      <c r="W72" s="748" t="s">
        <v>63</v>
      </c>
      <c r="X72" s="748"/>
      <c r="Y72" s="181">
        <f>SUMIFS('F3 - Relevé du personnel'!$E$4:$E$281,'F3 - Relevé du personnel'!$D$4:$D$281,$V72,'F3 - Relevé du personnel'!$C$4:$C$281,'F0 - Données générales'!$K$31,'F3 - Relevé du personnel'!$B$4:$B$281,"8.2")</f>
        <v>0</v>
      </c>
      <c r="Z72" s="181">
        <f>SUMIFS('F3 - Relevé du personnel'!$H$4:$H$281,'F3 - Relevé du personnel'!$D$4:$D$281,$V72,'F3 - Relevé du personnel'!$C$4:$C$281,'F0 - Données générales'!$K$31,'F3 - Relevé du personnel'!$B$4:$B$281,"8.2")</f>
        <v>0</v>
      </c>
      <c r="AA72" s="256">
        <f>SUMIFS('F3 - Relevé du personnel'!$I$4:$I$281,'F3 - Relevé du personnel'!$D$4:$D$281,$V72,'F3 - Relevé du personnel'!$C$4:$C$281,'F0 - Données générales'!$K$31,'F3 - Relevé du personnel'!$B$4:$B$281,"8.2")</f>
        <v>0</v>
      </c>
      <c r="AB72" s="256">
        <f>SUMIFS('F3 - Relevé du personnel'!$M$4:$M$281,'F3 - Relevé du personnel'!$D$4:$D$281,$V72,'F3 - Relevé du personnel'!$C$4:$C$281,'F0 - Données générales'!$K$31,'F3 - Relevé du personnel'!$B$4:$B$281,"8.2")</f>
        <v>0</v>
      </c>
      <c r="AC72" s="196">
        <f t="shared" ref="AC72:AC101" si="51">(AA72+AB72)</f>
        <v>0</v>
      </c>
      <c r="AD72" s="256">
        <f>SUMIFS('F3 - Relevé du personnel'!$O$4:$O$281,'F3 - Relevé du personnel'!$D$4:$D$281,$V72,'F3 - Relevé du personnel'!$C$4:$C$281,'F0 - Données générales'!$K$31,'F3 - Relevé du personnel'!$B$4:$B$281,"8.2")</f>
        <v>0</v>
      </c>
      <c r="AE72" s="256">
        <f>SUMIFS('F3 - Relevé du personnel'!$P$4:$P$281,'F3 - Relevé du personnel'!$D$4:$D$281,$V72,'F3 - Relevé du personnel'!$C$4:$C$281,'F0 - Données générales'!$K$31,'F3 - Relevé du personnel'!$B$4:$B$281,"8.2")</f>
        <v>0</v>
      </c>
      <c r="AF72" s="256">
        <f>SUMIFS('F3 - Relevé du personnel'!$Q$4:$Q$281,'F3 - Relevé du personnel'!$D$4:$D$281,$V72,'F3 - Relevé du personnel'!$C$4:$C$281,'F0 - Données générales'!$K$31,'F3 - Relevé du personnel'!$B$4:$B$281,"8.2")</f>
        <v>0</v>
      </c>
      <c r="AG72" s="182">
        <f t="shared" ref="AG72:AG101" si="52">AA72+AB72-SUM(AD72:AF72)</f>
        <v>0</v>
      </c>
      <c r="AH72" s="197" t="str">
        <f>IF(Y72=0,"",(AG72)/Y72)</f>
        <v/>
      </c>
      <c r="AI72" s="198" t="str">
        <f>IF(Y72=0,"",(SUMPRODUCT(($D$4:$D$253=V72)*($C$4:$C$253='F0 - Données générales'!$K$31)*($E$4:$E$253)*($F$4:$F$253)*($B$4:$B$253="8.2"))+SUMPRODUCT(($D$257:$D$281=V72)*($C$257:$C$281='F0 - Données générales'!$K$31)*($B$257:$B$281="8.2")*($E$257:$E$281)*($F$257:$F$281)))/(SUMIFS('F3 - Relevé du personnel'!$E$4:$E$281,'F3 - Relevé du personnel'!$D$4:$D$281,$V72,'F3 - Relevé du personnel'!$C$4:$C$281,'F0 - Données générales'!$K$31,'F3 - Relevé du personnel'!$B$4:$B$281,"8.2")))</f>
        <v/>
      </c>
      <c r="AJ72" s="120"/>
      <c r="AK72" s="742" t="s">
        <v>61</v>
      </c>
      <c r="AL72" s="742"/>
      <c r="AM72" s="26" t="s">
        <v>62</v>
      </c>
      <c r="AN72" s="748" t="s">
        <v>63</v>
      </c>
      <c r="AO72" s="748"/>
      <c r="AP72" s="181">
        <f>SUMIFS('F3 - Relevé du personnel'!$E$4:$E$281,'F3 - Relevé du personnel'!$D$4:$D$281,$AM72,'F3 - Relevé du personnel'!$C$4:$C$281,'F0 - Données générales'!$K$31,'F3 - Relevé du personnel'!$B$4:$B$281,"AUSC")</f>
        <v>0</v>
      </c>
      <c r="AQ72" s="181">
        <f>SUMIFS('F3 - Relevé du personnel'!$H$4:$H$281,'F3 - Relevé du personnel'!$D$4:$D$281,$AM72,'F3 - Relevé du personnel'!$C$4:$C$281,'F0 - Données générales'!$K$31,'F3 - Relevé du personnel'!$B$4:$B$281,"AUSC")</f>
        <v>0</v>
      </c>
      <c r="AR72" s="256">
        <f>SUMIFS('F3 - Relevé du personnel'!$I$4:$I$281,'F3 - Relevé du personnel'!$D$4:$D$281,$AM72,'F3 - Relevé du personnel'!$C$4:$C$281,'F0 - Données générales'!$K$31,'F3 - Relevé du personnel'!$B$4:$B$281,"AUSC")</f>
        <v>0</v>
      </c>
      <c r="AS72" s="256">
        <f>SUMIFS('F3 - Relevé du personnel'!$M$4:$M$281,'F3 - Relevé du personnel'!$D$4:$D$281,$AM72,'F3 - Relevé du personnel'!$C$4:$C$281,'F0 - Données générales'!$K$31,'F3 - Relevé du personnel'!$B$4:$B$281,"AUSC")</f>
        <v>0</v>
      </c>
      <c r="AT72" s="196">
        <f>(AR72+AS72)</f>
        <v>0</v>
      </c>
      <c r="AU72" s="256">
        <f>SUMIFS('F3 - Relevé du personnel'!$O$4:$O$281,'F3 - Relevé du personnel'!$D$4:$D$281,$AM72,'F3 - Relevé du personnel'!$C$4:$C$281,'F0 - Données générales'!$K$31,'F3 - Relevé du personnel'!$B$4:$B$281,"AUSC")</f>
        <v>0</v>
      </c>
      <c r="AV72" s="256">
        <f>SUMIFS('F3 - Relevé du personnel'!$P$4:$P$281,'F3 - Relevé du personnel'!$D$4:$D$281,$AM72,'F3 - Relevé du personnel'!$C$4:$C$281,'F0 - Données générales'!$K$31,'F3 - Relevé du personnel'!$B$4:$B$281,"AUSC")</f>
        <v>0</v>
      </c>
      <c r="AW72" s="256">
        <f>SUMIFS('F3 - Relevé du personnel'!$Q$4:$Q$281,'F3 - Relevé du personnel'!$D$4:$D$281,$AM72,'F3 - Relevé du personnel'!$C$4:$C$281,'F0 - Données générales'!$K$31,'F3 - Relevé du personnel'!$B$4:$B$281,"AUSC")</f>
        <v>0</v>
      </c>
      <c r="AX72" s="182">
        <f>AR72+AS72-SUM(AU72:AW72)</f>
        <v>0</v>
      </c>
      <c r="AY72" s="197" t="str">
        <f>IF(AP72=0,"",(AX72)/AP72)</f>
        <v/>
      </c>
      <c r="AZ72" s="198" t="str">
        <f>IF(AP72=0,"",(SUMPRODUCT(($D$4:$D$253=AM72)*($C$4:$C$253='F0 - Données générales'!$K$31)*($E$4:$E$253)*($F$4:$F$253)*($B$4:$B$253="AUSC"))+SUMPRODUCT(($D$257:$D$281=AM72)*($C$257:$C$281='F0 - Données générales'!$K$31)*($B$257:$B$281="AUSC")*($E$257:$E$281)*($F$257:$F$281)))/(SUMIFS('F3 - Relevé du personnel'!$E$4:$E$281,'F3 - Relevé du personnel'!$D$4:$D$281,$AM72,'F3 - Relevé du personnel'!$C$4:$C$281,'F0 - Données générales'!$K$31,'F3 - Relevé du personnel'!$B$4:$B$281,"AUSC")))</f>
        <v/>
      </c>
      <c r="BA72" s="120"/>
      <c r="BB72" s="762"/>
      <c r="BC72" s="763"/>
      <c r="BD72" s="777" t="s">
        <v>168</v>
      </c>
      <c r="BE72" s="778"/>
      <c r="BF72" s="779"/>
      <c r="BG72" s="190">
        <f>SUM(BG62:BG71)</f>
        <v>0</v>
      </c>
      <c r="BH72" s="191">
        <f>SUM(BH62:BH71)</f>
        <v>0</v>
      </c>
      <c r="BI72" s="191">
        <f>SUM(BI62:BI71)</f>
        <v>0</v>
      </c>
      <c r="BJ72" s="191">
        <f t="shared" si="33"/>
        <v>0</v>
      </c>
      <c r="BK72" s="191">
        <f>SUM(BK62:BK71)</f>
        <v>0</v>
      </c>
      <c r="BL72" s="191">
        <f>SUM(BL62:BL71)</f>
        <v>0</v>
      </c>
      <c r="BM72" s="191">
        <f>SUM(BM62:BM71)</f>
        <v>0</v>
      </c>
      <c r="BN72" s="192">
        <f>BH72+BI72-SUM(BK72:BM72)</f>
        <v>0</v>
      </c>
      <c r="BO72" s="192" t="str">
        <f t="shared" si="35"/>
        <v/>
      </c>
      <c r="BP72" s="193"/>
      <c r="BQ72" s="171"/>
      <c r="BR72" s="170"/>
    </row>
    <row r="73" spans="1:74" ht="15" customHeight="1" x14ac:dyDescent="0.3">
      <c r="A73" s="106">
        <v>70</v>
      </c>
      <c r="B73" s="324">
        <f>'F0 - Données générales'!$C$4</f>
        <v>7</v>
      </c>
      <c r="C73" s="106" t="s">
        <v>95</v>
      </c>
      <c r="D73" s="106"/>
      <c r="E73" s="107"/>
      <c r="F73" s="108"/>
      <c r="G73" s="109"/>
      <c r="H73" s="110">
        <f t="shared" si="47"/>
        <v>0</v>
      </c>
      <c r="I73" s="177"/>
      <c r="J73" s="118" t="str">
        <f>IF(OR(D73="",F73=""),"",(((HLOOKUP(D73,'Carrières et points'!$A$20:$AD$60,F73+2,FALSE)*'Carrières et points'!$C$7*'Carrières et points'!$C$9)+(HLOOKUP(D73,'Carrières et points'!$A$20:$AD$60,F73+2,FALSE)*'Carrières et points'!$C$13*'Carrières et points'!$C$15))*(1+'F0 - Données générales'!$I$4)+((HLOOKUP(D73,'Carrières et points'!$A$20:$AD$60,F73+2,FALSE)*'Carrières et points'!$C$7*'Carrières et points'!$C$9)+(HLOOKUP(D73,'Carrières et points'!$A$20:$AD$60,F73+2,FALSE)*'Carrières et points'!$C$13*'Carrières et points'!$C$15))/12*(1+'F0 - Données générales'!$L$13))*E73)</f>
        <v/>
      </c>
      <c r="K73" s="118" t="str">
        <f t="shared" si="48"/>
        <v/>
      </c>
      <c r="L73" s="109"/>
      <c r="M73" s="177"/>
      <c r="N73" s="118" t="str">
        <f t="shared" si="49"/>
        <v/>
      </c>
      <c r="O73" s="177"/>
      <c r="P73" s="177"/>
      <c r="Q73" s="177"/>
      <c r="R73" s="255" t="str">
        <f t="shared" si="50"/>
        <v/>
      </c>
      <c r="S73" s="120"/>
      <c r="T73" s="742" t="s">
        <v>65</v>
      </c>
      <c r="U73" s="742"/>
      <c r="V73" s="26" t="s">
        <v>66</v>
      </c>
      <c r="W73" s="741" t="s">
        <v>67</v>
      </c>
      <c r="X73" s="741"/>
      <c r="Y73" s="181">
        <f>SUMIFS('F3 - Relevé du personnel'!$E$4:$E$281,'F3 - Relevé du personnel'!$D$4:$D$281,$V73,'F3 - Relevé du personnel'!$C$4:$C$281,'F0 - Données générales'!$K$31,'F3 - Relevé du personnel'!$B$4:$B$281,"8.2")</f>
        <v>0</v>
      </c>
      <c r="Z73" s="181">
        <f>SUMIFS('F3 - Relevé du personnel'!$H$4:$H$281,'F3 - Relevé du personnel'!$D$4:$D$281,$V73,'F3 - Relevé du personnel'!$C$4:$C$281,'F0 - Données générales'!$K$31,'F3 - Relevé du personnel'!$B$4:$B$281,"8.2")</f>
        <v>0</v>
      </c>
      <c r="AA73" s="256">
        <f>SUMIFS('F3 - Relevé du personnel'!$I$4:$I$281,'F3 - Relevé du personnel'!$D$4:$D$281,$V73,'F3 - Relevé du personnel'!$C$4:$C$281,'F0 - Données générales'!$K$31,'F3 - Relevé du personnel'!$B$4:$B$281,"8.2")</f>
        <v>0</v>
      </c>
      <c r="AB73" s="256">
        <f>SUMIFS('F3 - Relevé du personnel'!$M$4:$M$281,'F3 - Relevé du personnel'!$D$4:$D$281,$V73,'F3 - Relevé du personnel'!$C$4:$C$281,'F0 - Données générales'!$K$31,'F3 - Relevé du personnel'!$B$4:$B$281,"8.2")</f>
        <v>0</v>
      </c>
      <c r="AC73" s="196">
        <f t="shared" si="51"/>
        <v>0</v>
      </c>
      <c r="AD73" s="256">
        <f>SUMIFS('F3 - Relevé du personnel'!$O$4:$O$281,'F3 - Relevé du personnel'!$D$4:$D$281,$V73,'F3 - Relevé du personnel'!$C$4:$C$281,'F0 - Données générales'!$K$31,'F3 - Relevé du personnel'!$B$4:$B$281,"8.2")</f>
        <v>0</v>
      </c>
      <c r="AE73" s="256">
        <f>SUMIFS('F3 - Relevé du personnel'!$P$4:$P$281,'F3 - Relevé du personnel'!$D$4:$D$281,$V73,'F3 - Relevé du personnel'!$C$4:$C$281,'F0 - Données générales'!$K$31,'F3 - Relevé du personnel'!$B$4:$B$281,"8.2")</f>
        <v>0</v>
      </c>
      <c r="AF73" s="256">
        <f>SUMIFS('F3 - Relevé du personnel'!$Q$4:$Q$281,'F3 - Relevé du personnel'!$D$4:$D$281,$V73,'F3 - Relevé du personnel'!$C$4:$C$281,'F0 - Données générales'!$K$31,'F3 - Relevé du personnel'!$B$4:$B$281,"8.2")</f>
        <v>0</v>
      </c>
      <c r="AG73" s="182">
        <f t="shared" si="52"/>
        <v>0</v>
      </c>
      <c r="AH73" s="197" t="str">
        <f t="shared" ref="AH73:AH102" si="53">IF(Y73=0,"",(AG73)/Y73)</f>
        <v/>
      </c>
      <c r="AI73" s="198" t="str">
        <f>IF(Y73=0,"",(SUMPRODUCT(($D$4:$D$253=V73)*($C$4:$C$253='F0 - Données générales'!$K$31)*($E$4:$E$253)*($F$4:$F$253)*($B$4:$B$253="8.2"))+SUMPRODUCT(($D$257:$D$281=V73)*($C$257:$C$281='F0 - Données générales'!$K$31)*($B$257:$B$281="8.2")*($E$257:$E$281)*($F$257:$F$281)))/(SUMIFS('F3 - Relevé du personnel'!$E$4:$E$281,'F3 - Relevé du personnel'!$D$4:$D$281,$V73,'F3 - Relevé du personnel'!$C$4:$C$281,'F0 - Données générales'!$K$31,'F3 - Relevé du personnel'!$B$4:$B$281,"8.2")))</f>
        <v/>
      </c>
      <c r="AJ73" s="120"/>
      <c r="AK73" s="742" t="s">
        <v>65</v>
      </c>
      <c r="AL73" s="742"/>
      <c r="AM73" s="26" t="s">
        <v>66</v>
      </c>
      <c r="AN73" s="741" t="s">
        <v>67</v>
      </c>
      <c r="AO73" s="741"/>
      <c r="AP73" s="181">
        <f>SUMIFS('F3 - Relevé du personnel'!$E$4:$E$281,'F3 - Relevé du personnel'!$D$4:$D$281,$AM73,'F3 - Relevé du personnel'!$C$4:$C$281,'F0 - Données générales'!$K$31,'F3 - Relevé du personnel'!$B$4:$B$281,"AUSC")</f>
        <v>0</v>
      </c>
      <c r="AQ73" s="181">
        <f>SUMIFS('F3 - Relevé du personnel'!$H$4:$H$281,'F3 - Relevé du personnel'!$D$4:$D$281,$AM73,'F3 - Relevé du personnel'!$C$4:$C$281,'F0 - Données générales'!$K$31,'F3 - Relevé du personnel'!$B$4:$B$281,"AUSC")</f>
        <v>0</v>
      </c>
      <c r="AR73" s="256">
        <f>SUMIFS('F3 - Relevé du personnel'!$I$4:$I$281,'F3 - Relevé du personnel'!$D$4:$D$281,$AM73,'F3 - Relevé du personnel'!$C$4:$C$281,'F0 - Données générales'!$K$31,'F3 - Relevé du personnel'!$B$4:$B$281,"AUSC")</f>
        <v>0</v>
      </c>
      <c r="AS73" s="256">
        <f>SUMIFS('F3 - Relevé du personnel'!$M$4:$M$281,'F3 - Relevé du personnel'!$D$4:$D$281,$AM73,'F3 - Relevé du personnel'!$C$4:$C$281,'F0 - Données générales'!$K$31,'F3 - Relevé du personnel'!$B$4:$B$281,"AUSC")</f>
        <v>0</v>
      </c>
      <c r="AT73" s="196">
        <f t="shared" ref="AT73:AT80" si="54">(AR73+AS73)</f>
        <v>0</v>
      </c>
      <c r="AU73" s="256">
        <f>SUMIFS('F3 - Relevé du personnel'!$O$4:$O$281,'F3 - Relevé du personnel'!$D$4:$D$281,$AM73,'F3 - Relevé du personnel'!$C$4:$C$281,'F0 - Données générales'!$K$31,'F3 - Relevé du personnel'!$B$4:$B$281,"AUSC")</f>
        <v>0</v>
      </c>
      <c r="AV73" s="256">
        <f>SUMIFS('F3 - Relevé du personnel'!$P$4:$P$281,'F3 - Relevé du personnel'!$D$4:$D$281,$AM73,'F3 - Relevé du personnel'!$C$4:$C$281,'F0 - Données générales'!$K$31,'F3 - Relevé du personnel'!$B$4:$B$281,"AUSC")</f>
        <v>0</v>
      </c>
      <c r="AW73" s="256">
        <f>SUMIFS('F3 - Relevé du personnel'!$Q$4:$Q$281,'F3 - Relevé du personnel'!$D$4:$D$281,$AM73,'F3 - Relevé du personnel'!$C$4:$C$281,'F0 - Données générales'!$K$31,'F3 - Relevé du personnel'!$B$4:$B$281,"AUSC")</f>
        <v>0</v>
      </c>
      <c r="AX73" s="182">
        <f t="shared" ref="AX73:AX80" si="55">AR73+AS73-SUM(AU73:AW73)</f>
        <v>0</v>
      </c>
      <c r="AY73" s="197" t="str">
        <f t="shared" ref="AY73:AY80" si="56">IF(AP73=0,"",(AX73)/AP73)</f>
        <v/>
      </c>
      <c r="AZ73" s="198" t="str">
        <f>IF(AP73=0,"",(SUMPRODUCT(($D$4:$D$253=AM73)*($C$4:$C$253='F0 - Données générales'!$K$31)*($E$4:$E$253)*($F$4:$F$253)*($B$4:$B$253="AUSC"))+SUMPRODUCT(($D$257:$D$281=AM73)*($C$257:$C$281='F0 - Données générales'!$K$31)*($B$257:$B$281="AUSC")*($E$257:$E$281)*($F$257:$F$281)))/(SUMIFS('F3 - Relevé du personnel'!$E$4:$E$281,'F3 - Relevé du personnel'!$D$4:$D$281,$AM73,'F3 - Relevé du personnel'!$C$4:$C$281,'F0 - Données générales'!$K$31,'F3 - Relevé du personnel'!$B$4:$B$281,"AUSC")))</f>
        <v/>
      </c>
      <c r="BA73" s="120"/>
      <c r="BB73" s="815" t="s">
        <v>57</v>
      </c>
      <c r="BC73" s="816"/>
      <c r="BD73" s="816"/>
      <c r="BE73" s="816"/>
      <c r="BF73" s="817"/>
      <c r="BG73" s="46">
        <f t="shared" ref="BG73:BN73" si="57">BG52+BG59+BG61+BG72</f>
        <v>0</v>
      </c>
      <c r="BH73" s="47">
        <f t="shared" si="57"/>
        <v>0</v>
      </c>
      <c r="BI73" s="47">
        <f t="shared" si="57"/>
        <v>0</v>
      </c>
      <c r="BJ73" s="47">
        <f t="shared" si="57"/>
        <v>0</v>
      </c>
      <c r="BK73" s="47">
        <f t="shared" si="57"/>
        <v>0</v>
      </c>
      <c r="BL73" s="47">
        <f t="shared" si="57"/>
        <v>0</v>
      </c>
      <c r="BM73" s="47">
        <f t="shared" si="57"/>
        <v>0</v>
      </c>
      <c r="BN73" s="49">
        <f t="shared" si="57"/>
        <v>0</v>
      </c>
      <c r="BO73" s="49" t="str">
        <f t="shared" si="35"/>
        <v/>
      </c>
      <c r="BP73" s="173" t="str">
        <f>IF(BG73=0,"",(SUMPRODUCT(($C$4:$C$253='F0 - Données générales'!$K$32)*($E$4:$E$253)*($F$4:$F$253))+SUMPRODUCT(($C$257:$C$281='F0 - Données générales'!$K$32)*($E$257:$E$281)*($F$257:$F$281)))/SUMIFS($E$4:$E$281,$C$4:$C$281,'F0 - Données générales'!$K$32))</f>
        <v/>
      </c>
      <c r="BQ73" s="171"/>
      <c r="BR73" s="170"/>
      <c r="BS73" s="172"/>
      <c r="BT73" s="172"/>
      <c r="BU73" s="133"/>
      <c r="BV73" s="63"/>
    </row>
    <row r="74" spans="1:74" ht="15" customHeight="1" x14ac:dyDescent="0.3">
      <c r="A74" s="106">
        <v>71</v>
      </c>
      <c r="B74" s="324">
        <f>'F0 - Données générales'!$C$4</f>
        <v>7</v>
      </c>
      <c r="C74" s="106" t="s">
        <v>95</v>
      </c>
      <c r="D74" s="106"/>
      <c r="E74" s="107"/>
      <c r="F74" s="108"/>
      <c r="G74" s="109"/>
      <c r="H74" s="110">
        <f t="shared" si="47"/>
        <v>0</v>
      </c>
      <c r="I74" s="177"/>
      <c r="J74" s="118" t="str">
        <f>IF(OR(D74="",F74=""),"",(((HLOOKUP(D74,'Carrières et points'!$A$20:$AD$60,F74+2,FALSE)*'Carrières et points'!$C$7*'Carrières et points'!$C$9)+(HLOOKUP(D74,'Carrières et points'!$A$20:$AD$60,F74+2,FALSE)*'Carrières et points'!$C$13*'Carrières et points'!$C$15))*(1+'F0 - Données générales'!$I$4)+((HLOOKUP(D74,'Carrières et points'!$A$20:$AD$60,F74+2,FALSE)*'Carrières et points'!$C$7*'Carrières et points'!$C$9)+(HLOOKUP(D74,'Carrières et points'!$A$20:$AD$60,F74+2,FALSE)*'Carrières et points'!$C$13*'Carrières et points'!$C$15))/12*(1+'F0 - Données générales'!$L$13))*E74)</f>
        <v/>
      </c>
      <c r="K74" s="118" t="str">
        <f t="shared" si="48"/>
        <v/>
      </c>
      <c r="L74" s="109"/>
      <c r="M74" s="177"/>
      <c r="N74" s="118" t="str">
        <f t="shared" si="49"/>
        <v/>
      </c>
      <c r="O74" s="177"/>
      <c r="P74" s="177"/>
      <c r="Q74" s="177"/>
      <c r="R74" s="255" t="str">
        <f t="shared" si="50"/>
        <v/>
      </c>
      <c r="S74" s="120"/>
      <c r="T74" s="742" t="s">
        <v>61</v>
      </c>
      <c r="U74" s="742"/>
      <c r="V74" s="26" t="s">
        <v>68</v>
      </c>
      <c r="W74" s="741" t="s">
        <v>69</v>
      </c>
      <c r="X74" s="741"/>
      <c r="Y74" s="181">
        <f>SUMIFS('F3 - Relevé du personnel'!$E$4:$E$281,'F3 - Relevé du personnel'!$D$4:$D$281,$V74,'F3 - Relevé du personnel'!$C$4:$C$281,'F0 - Données générales'!$K$31,'F3 - Relevé du personnel'!$B$4:$B$281,"8.2")</f>
        <v>0</v>
      </c>
      <c r="Z74" s="181">
        <f>SUMIFS('F3 - Relevé du personnel'!$H$4:$H$281,'F3 - Relevé du personnel'!$D$4:$D$281,$V74,'F3 - Relevé du personnel'!$C$4:$C$281,'F0 - Données générales'!$K$31,'F3 - Relevé du personnel'!$B$4:$B$281,"8.2")</f>
        <v>0</v>
      </c>
      <c r="AA74" s="256">
        <f>SUMIFS('F3 - Relevé du personnel'!$I$4:$I$281,'F3 - Relevé du personnel'!$D$4:$D$281,$V74,'F3 - Relevé du personnel'!$C$4:$C$281,'F0 - Données générales'!$K$31,'F3 - Relevé du personnel'!$B$4:$B$281,"8.2")</f>
        <v>0</v>
      </c>
      <c r="AB74" s="256">
        <f>SUMIFS('F3 - Relevé du personnel'!$M$4:$M$281,'F3 - Relevé du personnel'!$D$4:$D$281,$V74,'F3 - Relevé du personnel'!$C$4:$C$281,'F0 - Données générales'!$K$31,'F3 - Relevé du personnel'!$B$4:$B$281,"8.2")</f>
        <v>0</v>
      </c>
      <c r="AC74" s="196">
        <f t="shared" si="51"/>
        <v>0</v>
      </c>
      <c r="AD74" s="256">
        <f>SUMIFS('F3 - Relevé du personnel'!$O$4:$O$281,'F3 - Relevé du personnel'!$D$4:$D$281,$V74,'F3 - Relevé du personnel'!$C$4:$C$281,'F0 - Données générales'!$K$31,'F3 - Relevé du personnel'!$B$4:$B$281,"8.2")</f>
        <v>0</v>
      </c>
      <c r="AE74" s="256">
        <f>SUMIFS('F3 - Relevé du personnel'!$P$4:$P$281,'F3 - Relevé du personnel'!$D$4:$D$281,$V74,'F3 - Relevé du personnel'!$C$4:$C$281,'F0 - Données générales'!$K$31,'F3 - Relevé du personnel'!$B$4:$B$281,"8.2")</f>
        <v>0</v>
      </c>
      <c r="AF74" s="256">
        <f>SUMIFS('F3 - Relevé du personnel'!$Q$4:$Q$281,'F3 - Relevé du personnel'!$D$4:$D$281,$V74,'F3 - Relevé du personnel'!$C$4:$C$281,'F0 - Données générales'!$K$31,'F3 - Relevé du personnel'!$B$4:$B$281,"8.2")</f>
        <v>0</v>
      </c>
      <c r="AG74" s="182">
        <f t="shared" si="52"/>
        <v>0</v>
      </c>
      <c r="AH74" s="197" t="str">
        <f t="shared" si="53"/>
        <v/>
      </c>
      <c r="AI74" s="198" t="str">
        <f>IF(Y74=0,"",(SUMPRODUCT(($D$4:$D$253=V74)*($C$4:$C$253='F0 - Données générales'!$K$31)*($E$4:$E$253)*($F$4:$F$253)*($B$4:$B$253="8.2"))+SUMPRODUCT(($D$257:$D$281=V74)*($C$257:$C$281='F0 - Données générales'!$K$31)*($B$257:$B$281="8.2")*($E$257:$E$281)*($F$257:$F$281)))/(SUMIFS('F3 - Relevé du personnel'!$E$4:$E$281,'F3 - Relevé du personnel'!$D$4:$D$281,$V74,'F3 - Relevé du personnel'!$C$4:$C$281,'F0 - Données générales'!$K$31,'F3 - Relevé du personnel'!$B$4:$B$281,"8.2")))</f>
        <v/>
      </c>
      <c r="AJ74" s="120"/>
      <c r="AK74" s="742" t="s">
        <v>61</v>
      </c>
      <c r="AL74" s="742"/>
      <c r="AM74" s="26" t="s">
        <v>68</v>
      </c>
      <c r="AN74" s="741" t="s">
        <v>69</v>
      </c>
      <c r="AO74" s="741"/>
      <c r="AP74" s="181">
        <f>SUMIFS('F3 - Relevé du personnel'!$E$4:$E$281,'F3 - Relevé du personnel'!$D$4:$D$281,$AM74,'F3 - Relevé du personnel'!$C$4:$C$281,'F0 - Données générales'!$K$31,'F3 - Relevé du personnel'!$B$4:$B$281,"AUSC")</f>
        <v>0</v>
      </c>
      <c r="AQ74" s="181">
        <f>SUMIFS('F3 - Relevé du personnel'!$H$4:$H$281,'F3 - Relevé du personnel'!$D$4:$D$281,$AM74,'F3 - Relevé du personnel'!$C$4:$C$281,'F0 - Données générales'!$K$31,'F3 - Relevé du personnel'!$B$4:$B$281,"AUSC")</f>
        <v>0</v>
      </c>
      <c r="AR74" s="256">
        <f>SUMIFS('F3 - Relevé du personnel'!$I$4:$I$281,'F3 - Relevé du personnel'!$D$4:$D$281,$AM74,'F3 - Relevé du personnel'!$C$4:$C$281,'F0 - Données générales'!$K$31,'F3 - Relevé du personnel'!$B$4:$B$281,"AUSC")</f>
        <v>0</v>
      </c>
      <c r="AS74" s="256">
        <f>SUMIFS('F3 - Relevé du personnel'!$M$4:$M$281,'F3 - Relevé du personnel'!$D$4:$D$281,$AM74,'F3 - Relevé du personnel'!$C$4:$C$281,'F0 - Données générales'!$K$31,'F3 - Relevé du personnel'!$B$4:$B$281,"AUSC")</f>
        <v>0</v>
      </c>
      <c r="AT74" s="196">
        <f t="shared" si="54"/>
        <v>0</v>
      </c>
      <c r="AU74" s="256">
        <f>SUMIFS('F3 - Relevé du personnel'!$O$4:$O$281,'F3 - Relevé du personnel'!$D$4:$D$281,$AM74,'F3 - Relevé du personnel'!$C$4:$C$281,'F0 - Données générales'!$K$31,'F3 - Relevé du personnel'!$B$4:$B$281,"AUSC")</f>
        <v>0</v>
      </c>
      <c r="AV74" s="256">
        <f>SUMIFS('F3 - Relevé du personnel'!$P$4:$P$281,'F3 - Relevé du personnel'!$D$4:$D$281,$AM74,'F3 - Relevé du personnel'!$C$4:$C$281,'F0 - Données générales'!$K$31,'F3 - Relevé du personnel'!$B$4:$B$281,"AUSC")</f>
        <v>0</v>
      </c>
      <c r="AW74" s="256">
        <f>SUMIFS('F3 - Relevé du personnel'!$Q$4:$Q$281,'F3 - Relevé du personnel'!$D$4:$D$281,$AM74,'F3 - Relevé du personnel'!$C$4:$C$281,'F0 - Données générales'!$K$31,'F3 - Relevé du personnel'!$B$4:$B$281,"AUSC")</f>
        <v>0</v>
      </c>
      <c r="AX74" s="182">
        <f t="shared" si="55"/>
        <v>0</v>
      </c>
      <c r="AY74" s="197" t="str">
        <f t="shared" si="56"/>
        <v/>
      </c>
      <c r="AZ74" s="198" t="str">
        <f>IF(AP74=0,"",(SUMPRODUCT(($D$4:$D$253=AM74)*($C$4:$C$253='F0 - Données générales'!$K$31)*($E$4:$E$253)*($F$4:$F$253)*($B$4:$B$253="AUSC"))+SUMPRODUCT(($D$257:$D$281=AM74)*($C$257:$C$281='F0 - Données générales'!$K$31)*($B$257:$B$281="AUSC")*($E$257:$E$281)*($F$257:$F$281)))/(SUMIFS('F3 - Relevé du personnel'!$E$4:$E$281,'F3 - Relevé du personnel'!$D$4:$D$281,$AM74,'F3 - Relevé du personnel'!$C$4:$C$281,'F0 - Données générales'!$K$31,'F3 - Relevé du personnel'!$B$4:$B$281,"AUSC")))</f>
        <v/>
      </c>
      <c r="BA74" s="120"/>
      <c r="BB74" s="818"/>
      <c r="BC74" s="818"/>
      <c r="BD74" s="194"/>
      <c r="BE74" s="819"/>
      <c r="BF74" s="819"/>
      <c r="BG74" s="195"/>
      <c r="BQ74" s="171"/>
      <c r="BR74" s="170"/>
      <c r="BS74" s="172"/>
      <c r="BT74" s="172"/>
      <c r="BU74" s="133"/>
      <c r="BV74" s="63"/>
    </row>
    <row r="75" spans="1:74" ht="15" customHeight="1" x14ac:dyDescent="0.3">
      <c r="A75" s="106">
        <v>72</v>
      </c>
      <c r="B75" s="324">
        <f>'F0 - Données générales'!$C$4</f>
        <v>7</v>
      </c>
      <c r="C75" s="106" t="s">
        <v>95</v>
      </c>
      <c r="D75" s="106"/>
      <c r="E75" s="107"/>
      <c r="F75" s="108"/>
      <c r="G75" s="109"/>
      <c r="H75" s="110">
        <f t="shared" si="47"/>
        <v>0</v>
      </c>
      <c r="I75" s="177"/>
      <c r="J75" s="118" t="str">
        <f>IF(OR(D75="",F75=""),"",(((HLOOKUP(D75,'Carrières et points'!$A$20:$AD$60,F75+2,FALSE)*'Carrières et points'!$C$7*'Carrières et points'!$C$9)+(HLOOKUP(D75,'Carrières et points'!$A$20:$AD$60,F75+2,FALSE)*'Carrières et points'!$C$13*'Carrières et points'!$C$15))*(1+'F0 - Données générales'!$I$4)+((HLOOKUP(D75,'Carrières et points'!$A$20:$AD$60,F75+2,FALSE)*'Carrières et points'!$C$7*'Carrières et points'!$C$9)+(HLOOKUP(D75,'Carrières et points'!$A$20:$AD$60,F75+2,FALSE)*'Carrières et points'!$C$13*'Carrières et points'!$C$15))/12*(1+'F0 - Données générales'!$L$13))*E75)</f>
        <v/>
      </c>
      <c r="K75" s="118" t="str">
        <f t="shared" si="48"/>
        <v/>
      </c>
      <c r="L75" s="109"/>
      <c r="M75" s="177"/>
      <c r="N75" s="118" t="str">
        <f t="shared" si="49"/>
        <v/>
      </c>
      <c r="O75" s="177"/>
      <c r="P75" s="177"/>
      <c r="Q75" s="177"/>
      <c r="R75" s="255" t="str">
        <f t="shared" si="50"/>
        <v/>
      </c>
      <c r="S75" s="120"/>
      <c r="T75" s="742" t="s">
        <v>64</v>
      </c>
      <c r="U75" s="742"/>
      <c r="V75" s="26" t="s">
        <v>70</v>
      </c>
      <c r="W75" s="741" t="s">
        <v>71</v>
      </c>
      <c r="X75" s="741"/>
      <c r="Y75" s="181">
        <f>SUMIFS('F3 - Relevé du personnel'!$E$4:$E$281,'F3 - Relevé du personnel'!$D$4:$D$281,$V75,'F3 - Relevé du personnel'!$C$4:$C$281,'F0 - Données générales'!$K$31,'F3 - Relevé du personnel'!$B$4:$B$281,"8.2")</f>
        <v>0</v>
      </c>
      <c r="Z75" s="181">
        <f>SUMIFS('F3 - Relevé du personnel'!$H$4:$H$281,'F3 - Relevé du personnel'!$D$4:$D$281,$V75,'F3 - Relevé du personnel'!$C$4:$C$281,'F0 - Données générales'!$K$31,'F3 - Relevé du personnel'!$B$4:$B$281,"8.2")</f>
        <v>0</v>
      </c>
      <c r="AA75" s="256">
        <f>SUMIFS('F3 - Relevé du personnel'!$I$4:$I$281,'F3 - Relevé du personnel'!$D$4:$D$281,$V75,'F3 - Relevé du personnel'!$C$4:$C$281,'F0 - Données générales'!$K$31,'F3 - Relevé du personnel'!$B$4:$B$281,"8.2")</f>
        <v>0</v>
      </c>
      <c r="AB75" s="256">
        <f>SUMIFS('F3 - Relevé du personnel'!$M$4:$M$281,'F3 - Relevé du personnel'!$D$4:$D$281,$V75,'F3 - Relevé du personnel'!$C$4:$C$281,'F0 - Données générales'!$K$31,'F3 - Relevé du personnel'!$B$4:$B$281,"8.2")</f>
        <v>0</v>
      </c>
      <c r="AC75" s="196">
        <f t="shared" si="51"/>
        <v>0</v>
      </c>
      <c r="AD75" s="256">
        <f>SUMIFS('F3 - Relevé du personnel'!$O$4:$O$281,'F3 - Relevé du personnel'!$D$4:$D$281,$V75,'F3 - Relevé du personnel'!$C$4:$C$281,'F0 - Données générales'!$K$31,'F3 - Relevé du personnel'!$B$4:$B$281,"8.2")</f>
        <v>0</v>
      </c>
      <c r="AE75" s="256">
        <f>SUMIFS('F3 - Relevé du personnel'!$P$4:$P$281,'F3 - Relevé du personnel'!$D$4:$D$281,$V75,'F3 - Relevé du personnel'!$C$4:$C$281,'F0 - Données générales'!$K$31,'F3 - Relevé du personnel'!$B$4:$B$281,"8.2")</f>
        <v>0</v>
      </c>
      <c r="AF75" s="256">
        <f>SUMIFS('F3 - Relevé du personnel'!$Q$4:$Q$281,'F3 - Relevé du personnel'!$D$4:$D$281,$V75,'F3 - Relevé du personnel'!$C$4:$C$281,'F0 - Données générales'!$K$31,'F3 - Relevé du personnel'!$B$4:$B$281,"8.2")</f>
        <v>0</v>
      </c>
      <c r="AG75" s="182">
        <f t="shared" si="52"/>
        <v>0</v>
      </c>
      <c r="AH75" s="197" t="str">
        <f t="shared" si="53"/>
        <v/>
      </c>
      <c r="AI75" s="198" t="str">
        <f>IF(Y75=0,"",(SUMPRODUCT(($D$4:$D$253=V75)*($C$4:$C$253='F0 - Données générales'!$K$31)*($E$4:$E$253)*($F$4:$F$253)*($B$4:$B$253="8.2"))+SUMPRODUCT(($D$257:$D$281=V75)*($C$257:$C$281='F0 - Données générales'!$K$31)*($B$257:$B$281="8.2")*($E$257:$E$281)*($F$257:$F$281)))/(SUMIFS('F3 - Relevé du personnel'!$E$4:$E$281,'F3 - Relevé du personnel'!$D$4:$D$281,$V75,'F3 - Relevé du personnel'!$C$4:$C$281,'F0 - Données générales'!$K$31,'F3 - Relevé du personnel'!$B$4:$B$281,"8.2")))</f>
        <v/>
      </c>
      <c r="AJ75" s="120"/>
      <c r="AK75" s="742" t="s">
        <v>64</v>
      </c>
      <c r="AL75" s="742"/>
      <c r="AM75" s="26" t="s">
        <v>70</v>
      </c>
      <c r="AN75" s="741" t="s">
        <v>71</v>
      </c>
      <c r="AO75" s="741"/>
      <c r="AP75" s="181">
        <f>SUMIFS('F3 - Relevé du personnel'!$E$4:$E$281,'F3 - Relevé du personnel'!$D$4:$D$281,$AM75,'F3 - Relevé du personnel'!$C$4:$C$281,'F0 - Données générales'!$K$31,'F3 - Relevé du personnel'!$B$4:$B$281,"AUSC")</f>
        <v>0</v>
      </c>
      <c r="AQ75" s="181">
        <f>SUMIFS('F3 - Relevé du personnel'!$H$4:$H$281,'F3 - Relevé du personnel'!$D$4:$D$281,$AM75,'F3 - Relevé du personnel'!$C$4:$C$281,'F0 - Données générales'!$K$31,'F3 - Relevé du personnel'!$B$4:$B$281,"AUSC")</f>
        <v>0</v>
      </c>
      <c r="AR75" s="256">
        <f>SUMIFS('F3 - Relevé du personnel'!$I$4:$I$281,'F3 - Relevé du personnel'!$D$4:$D$281,$AM75,'F3 - Relevé du personnel'!$C$4:$C$281,'F0 - Données générales'!$K$31,'F3 - Relevé du personnel'!$B$4:$B$281,"AUSC")</f>
        <v>0</v>
      </c>
      <c r="AS75" s="256">
        <f>SUMIFS('F3 - Relevé du personnel'!$M$4:$M$281,'F3 - Relevé du personnel'!$D$4:$D$281,$AM75,'F3 - Relevé du personnel'!$C$4:$C$281,'F0 - Données générales'!$K$31,'F3 - Relevé du personnel'!$B$4:$B$281,"AUSC")</f>
        <v>0</v>
      </c>
      <c r="AT75" s="196">
        <f t="shared" si="54"/>
        <v>0</v>
      </c>
      <c r="AU75" s="256">
        <f>SUMIFS('F3 - Relevé du personnel'!$O$4:$O$281,'F3 - Relevé du personnel'!$D$4:$D$281,$AM75,'F3 - Relevé du personnel'!$C$4:$C$281,'F0 - Données générales'!$K$31,'F3 - Relevé du personnel'!$B$4:$B$281,"AUSC")</f>
        <v>0</v>
      </c>
      <c r="AV75" s="256">
        <f>SUMIFS('F3 - Relevé du personnel'!$P$4:$P$281,'F3 - Relevé du personnel'!$D$4:$D$281,$AM75,'F3 - Relevé du personnel'!$C$4:$C$281,'F0 - Données générales'!$K$31,'F3 - Relevé du personnel'!$B$4:$B$281,"AUSC")</f>
        <v>0</v>
      </c>
      <c r="AW75" s="256">
        <f>SUMIFS('F3 - Relevé du personnel'!$Q$4:$Q$281,'F3 - Relevé du personnel'!$D$4:$D$281,$AM75,'F3 - Relevé du personnel'!$C$4:$C$281,'F0 - Données générales'!$K$31,'F3 - Relevé du personnel'!$B$4:$B$281,"AUSC")</f>
        <v>0</v>
      </c>
      <c r="AX75" s="182">
        <f t="shared" si="55"/>
        <v>0</v>
      </c>
      <c r="AY75" s="197" t="str">
        <f t="shared" si="56"/>
        <v/>
      </c>
      <c r="AZ75" s="198" t="str">
        <f>IF(AP75=0,"",(SUMPRODUCT(($D$4:$D$253=AM75)*($C$4:$C$253='F0 - Données générales'!$K$31)*($E$4:$E$253)*($F$4:$F$253)*($B$4:$B$253="AUSC"))+SUMPRODUCT(($D$257:$D$281=AM75)*($C$257:$C$281='F0 - Données générales'!$K$31)*($B$257:$B$281="AUSC")*($E$257:$E$281)*($F$257:$F$281)))/(SUMIFS('F3 - Relevé du personnel'!$E$4:$E$281,'F3 - Relevé du personnel'!$D$4:$D$281,$AM75,'F3 - Relevé du personnel'!$C$4:$C$281,'F0 - Données générales'!$K$31,'F3 - Relevé du personnel'!$B$4:$B$281,"AUSC")))</f>
        <v/>
      </c>
      <c r="BA75" s="120"/>
      <c r="BB75" s="1" t="s">
        <v>331</v>
      </c>
      <c r="BC75" s="169"/>
      <c r="BD75" s="169"/>
      <c r="BE75" s="169"/>
      <c r="BF75" s="169"/>
      <c r="BG75" s="179"/>
      <c r="BH75" s="170"/>
      <c r="BI75" s="170"/>
      <c r="BJ75" s="170"/>
      <c r="BK75" s="170"/>
      <c r="BL75" s="170"/>
      <c r="BM75" s="170"/>
      <c r="BN75" s="172"/>
      <c r="BO75" s="172"/>
      <c r="BP75" s="180"/>
      <c r="BQ75" s="171"/>
      <c r="BR75" s="170"/>
      <c r="BS75" s="172"/>
      <c r="BT75" s="172"/>
      <c r="BU75" s="133"/>
      <c r="BV75" s="63"/>
    </row>
    <row r="76" spans="1:74" ht="15" customHeight="1" x14ac:dyDescent="0.3">
      <c r="A76" s="106">
        <v>73</v>
      </c>
      <c r="B76" s="324">
        <f>'F0 - Données générales'!$C$4</f>
        <v>7</v>
      </c>
      <c r="C76" s="106" t="s">
        <v>95</v>
      </c>
      <c r="D76" s="106"/>
      <c r="E76" s="107"/>
      <c r="F76" s="108"/>
      <c r="G76" s="109"/>
      <c r="H76" s="110">
        <f t="shared" si="47"/>
        <v>0</v>
      </c>
      <c r="I76" s="177"/>
      <c r="J76" s="118" t="str">
        <f>IF(OR(D76="",F76=""),"",(((HLOOKUP(D76,'Carrières et points'!$A$20:$AD$60,F76+2,FALSE)*'Carrières et points'!$C$7*'Carrières et points'!$C$9)+(HLOOKUP(D76,'Carrières et points'!$A$20:$AD$60,F76+2,FALSE)*'Carrières et points'!$C$13*'Carrières et points'!$C$15))*(1+'F0 - Données générales'!$I$4)+((HLOOKUP(D76,'Carrières et points'!$A$20:$AD$60,F76+2,FALSE)*'Carrières et points'!$C$7*'Carrières et points'!$C$9)+(HLOOKUP(D76,'Carrières et points'!$A$20:$AD$60,F76+2,FALSE)*'Carrières et points'!$C$13*'Carrières et points'!$C$15))/12*(1+'F0 - Données générales'!$L$13))*E76)</f>
        <v/>
      </c>
      <c r="K76" s="118" t="str">
        <f t="shared" si="48"/>
        <v/>
      </c>
      <c r="L76" s="109"/>
      <c r="M76" s="177"/>
      <c r="N76" s="118" t="str">
        <f t="shared" si="49"/>
        <v/>
      </c>
      <c r="O76" s="177"/>
      <c r="P76" s="177"/>
      <c r="Q76" s="177"/>
      <c r="R76" s="255" t="str">
        <f t="shared" si="50"/>
        <v/>
      </c>
      <c r="S76" s="120"/>
      <c r="T76" s="742" t="s">
        <v>64</v>
      </c>
      <c r="U76" s="742"/>
      <c r="V76" s="26" t="s">
        <v>72</v>
      </c>
      <c r="W76" s="741" t="s">
        <v>73</v>
      </c>
      <c r="X76" s="741"/>
      <c r="Y76" s="181">
        <f>SUMIFS('F3 - Relevé du personnel'!$E$4:$E$281,'F3 - Relevé du personnel'!$D$4:$D$281,$V76,'F3 - Relevé du personnel'!$C$4:$C$281,'F0 - Données générales'!$K$31,'F3 - Relevé du personnel'!$B$4:$B$281,"8.2")</f>
        <v>0</v>
      </c>
      <c r="Z76" s="181">
        <f>SUMIFS('F3 - Relevé du personnel'!$H$4:$H$281,'F3 - Relevé du personnel'!$D$4:$D$281,$V76,'F3 - Relevé du personnel'!$C$4:$C$281,'F0 - Données générales'!$K$31,'F3 - Relevé du personnel'!$B$4:$B$281,"8.2")</f>
        <v>0</v>
      </c>
      <c r="AA76" s="256">
        <f>SUMIFS('F3 - Relevé du personnel'!$I$4:$I$281,'F3 - Relevé du personnel'!$D$4:$D$281,$V76,'F3 - Relevé du personnel'!$C$4:$C$281,'F0 - Données générales'!$K$31,'F3 - Relevé du personnel'!$B$4:$B$281,"8.2")</f>
        <v>0</v>
      </c>
      <c r="AB76" s="256">
        <f>SUMIFS('F3 - Relevé du personnel'!$M$4:$M$281,'F3 - Relevé du personnel'!$D$4:$D$281,$V76,'F3 - Relevé du personnel'!$C$4:$C$281,'F0 - Données générales'!$K$31,'F3 - Relevé du personnel'!$B$4:$B$281,"8.2")</f>
        <v>0</v>
      </c>
      <c r="AC76" s="196">
        <f t="shared" si="51"/>
        <v>0</v>
      </c>
      <c r="AD76" s="256">
        <f>SUMIFS('F3 - Relevé du personnel'!$O$4:$O$281,'F3 - Relevé du personnel'!$D$4:$D$281,$V76,'F3 - Relevé du personnel'!$C$4:$C$281,'F0 - Données générales'!$K$31,'F3 - Relevé du personnel'!$B$4:$B$281,"8.2")</f>
        <v>0</v>
      </c>
      <c r="AE76" s="256">
        <f>SUMIFS('F3 - Relevé du personnel'!$P$4:$P$281,'F3 - Relevé du personnel'!$D$4:$D$281,$V76,'F3 - Relevé du personnel'!$C$4:$C$281,'F0 - Données générales'!$K$31,'F3 - Relevé du personnel'!$B$4:$B$281,"8.2")</f>
        <v>0</v>
      </c>
      <c r="AF76" s="256">
        <f>SUMIFS('F3 - Relevé du personnel'!$Q$4:$Q$281,'F3 - Relevé du personnel'!$D$4:$D$281,$V76,'F3 - Relevé du personnel'!$C$4:$C$281,'F0 - Données générales'!$K$31,'F3 - Relevé du personnel'!$B$4:$B$281,"8.2")</f>
        <v>0</v>
      </c>
      <c r="AG76" s="182">
        <f t="shared" si="52"/>
        <v>0</v>
      </c>
      <c r="AH76" s="197" t="str">
        <f t="shared" si="53"/>
        <v/>
      </c>
      <c r="AI76" s="198" t="str">
        <f>IF(Y76=0,"",(SUMPRODUCT(($D$4:$D$253=V76)*($C$4:$C$253='F0 - Données générales'!$K$31)*($E$4:$E$253)*($F$4:$F$253)*($B$4:$B$253="8.2"))+SUMPRODUCT(($D$257:$D$281=V76)*($C$257:$C$281='F0 - Données générales'!$K$31)*($B$257:$B$281="8.2")*($E$257:$E$281)*($F$257:$F$281)))/(SUMIFS('F3 - Relevé du personnel'!$E$4:$E$281,'F3 - Relevé du personnel'!$D$4:$D$281,$V76,'F3 - Relevé du personnel'!$C$4:$C$281,'F0 - Données générales'!$K$31,'F3 - Relevé du personnel'!$B$4:$B$281,"8.2")))</f>
        <v/>
      </c>
      <c r="AJ76" s="120"/>
      <c r="AK76" s="742" t="s">
        <v>64</v>
      </c>
      <c r="AL76" s="742"/>
      <c r="AM76" s="26" t="s">
        <v>72</v>
      </c>
      <c r="AN76" s="741" t="s">
        <v>73</v>
      </c>
      <c r="AO76" s="741"/>
      <c r="AP76" s="181">
        <f>SUMIFS('F3 - Relevé du personnel'!$E$4:$E$281,'F3 - Relevé du personnel'!$D$4:$D$281,$AM76,'F3 - Relevé du personnel'!$C$4:$C$281,'F0 - Données générales'!$K$31,'F3 - Relevé du personnel'!$B$4:$B$281,"AUSC")</f>
        <v>0</v>
      </c>
      <c r="AQ76" s="181">
        <f>SUMIFS('F3 - Relevé du personnel'!$H$4:$H$281,'F3 - Relevé du personnel'!$D$4:$D$281,$AM76,'F3 - Relevé du personnel'!$C$4:$C$281,'F0 - Données générales'!$K$31,'F3 - Relevé du personnel'!$B$4:$B$281,"AUSC")</f>
        <v>0</v>
      </c>
      <c r="AR76" s="256">
        <f>SUMIFS('F3 - Relevé du personnel'!$I$4:$I$281,'F3 - Relevé du personnel'!$D$4:$D$281,$AM76,'F3 - Relevé du personnel'!$C$4:$C$281,'F0 - Données générales'!$K$31,'F3 - Relevé du personnel'!$B$4:$B$281,"AUSC")</f>
        <v>0</v>
      </c>
      <c r="AS76" s="256">
        <f>SUMIFS('F3 - Relevé du personnel'!$M$4:$M$281,'F3 - Relevé du personnel'!$D$4:$D$281,$AM76,'F3 - Relevé du personnel'!$C$4:$C$281,'F0 - Données générales'!$K$31,'F3 - Relevé du personnel'!$B$4:$B$281,"AUSC")</f>
        <v>0</v>
      </c>
      <c r="AT76" s="196">
        <f t="shared" si="54"/>
        <v>0</v>
      </c>
      <c r="AU76" s="256">
        <f>SUMIFS('F3 - Relevé du personnel'!$O$4:$O$281,'F3 - Relevé du personnel'!$D$4:$D$281,$AM76,'F3 - Relevé du personnel'!$C$4:$C$281,'F0 - Données générales'!$K$31,'F3 - Relevé du personnel'!$B$4:$B$281,"AUSC")</f>
        <v>0</v>
      </c>
      <c r="AV76" s="256">
        <f>SUMIFS('F3 - Relevé du personnel'!$P$4:$P$281,'F3 - Relevé du personnel'!$D$4:$D$281,$AM76,'F3 - Relevé du personnel'!$C$4:$C$281,'F0 - Données générales'!$K$31,'F3 - Relevé du personnel'!$B$4:$B$281,"AUSC")</f>
        <v>0</v>
      </c>
      <c r="AW76" s="256">
        <f>SUMIFS('F3 - Relevé du personnel'!$Q$4:$Q$281,'F3 - Relevé du personnel'!$D$4:$D$281,$AM76,'F3 - Relevé du personnel'!$C$4:$C$281,'F0 - Données générales'!$K$31,'F3 - Relevé du personnel'!$B$4:$B$281,"AUSC")</f>
        <v>0</v>
      </c>
      <c r="AX76" s="182">
        <f t="shared" si="55"/>
        <v>0</v>
      </c>
      <c r="AY76" s="197" t="str">
        <f t="shared" si="56"/>
        <v/>
      </c>
      <c r="AZ76" s="198" t="str">
        <f>IF(AP76=0,"",(SUMPRODUCT(($D$4:$D$253=AM76)*($C$4:$C$253='F0 - Données générales'!$K$31)*($E$4:$E$253)*($F$4:$F$253)*($B$4:$B$253="AUSC"))+SUMPRODUCT(($D$257:$D$281=AM76)*($C$257:$C$281='F0 - Données générales'!$K$31)*($B$257:$B$281="AUSC")*($E$257:$E$281)*($F$257:$F$281)))/(SUMIFS('F3 - Relevé du personnel'!$E$4:$E$281,'F3 - Relevé du personnel'!$D$4:$D$281,$AM76,'F3 - Relevé du personnel'!$C$4:$C$281,'F0 - Données générales'!$K$31,'F3 - Relevé du personnel'!$B$4:$B$281,"AUSC")))</f>
        <v/>
      </c>
      <c r="BA76" s="120"/>
      <c r="BB76" s="768" t="s">
        <v>58</v>
      </c>
      <c r="BC76" s="769"/>
      <c r="BD76" s="768" t="s">
        <v>55</v>
      </c>
      <c r="BE76" s="780"/>
      <c r="BF76" s="769"/>
      <c r="BG76" s="812" t="s">
        <v>406</v>
      </c>
      <c r="BH76" s="812" t="s">
        <v>299</v>
      </c>
      <c r="BI76" s="812" t="s">
        <v>304</v>
      </c>
      <c r="BJ76" s="812" t="s">
        <v>733</v>
      </c>
      <c r="BK76" s="812" t="s">
        <v>284</v>
      </c>
      <c r="BL76" s="812" t="s">
        <v>323</v>
      </c>
      <c r="BM76" s="812" t="s">
        <v>60</v>
      </c>
      <c r="BN76" s="812" t="s">
        <v>734</v>
      </c>
      <c r="BO76" s="812" t="s">
        <v>735</v>
      </c>
      <c r="BP76" s="812" t="s">
        <v>313</v>
      </c>
      <c r="BQ76" s="171"/>
      <c r="BR76" s="170"/>
    </row>
    <row r="77" spans="1:74" ht="15" customHeight="1" x14ac:dyDescent="0.3">
      <c r="A77" s="106">
        <v>74</v>
      </c>
      <c r="B77" s="324">
        <f>'F0 - Données générales'!$C$4</f>
        <v>7</v>
      </c>
      <c r="C77" s="106" t="s">
        <v>95</v>
      </c>
      <c r="D77" s="106"/>
      <c r="E77" s="107"/>
      <c r="F77" s="108"/>
      <c r="G77" s="109"/>
      <c r="H77" s="110">
        <f t="shared" si="47"/>
        <v>0</v>
      </c>
      <c r="I77" s="177"/>
      <c r="J77" s="118" t="str">
        <f>IF(OR(D77="",F77=""),"",(((HLOOKUP(D77,'Carrières et points'!$A$20:$AD$60,F77+2,FALSE)*'Carrières et points'!$C$7*'Carrières et points'!$C$9)+(HLOOKUP(D77,'Carrières et points'!$A$20:$AD$60,F77+2,FALSE)*'Carrières et points'!$C$13*'Carrières et points'!$C$15))*(1+'F0 - Données générales'!$I$4)+((HLOOKUP(D77,'Carrières et points'!$A$20:$AD$60,F77+2,FALSE)*'Carrières et points'!$C$7*'Carrières et points'!$C$9)+(HLOOKUP(D77,'Carrières et points'!$A$20:$AD$60,F77+2,FALSE)*'Carrières et points'!$C$13*'Carrières et points'!$C$15))/12*(1+'F0 - Données générales'!$L$13))*E77)</f>
        <v/>
      </c>
      <c r="K77" s="118" t="str">
        <f t="shared" si="48"/>
        <v/>
      </c>
      <c r="L77" s="109"/>
      <c r="M77" s="177"/>
      <c r="N77" s="118" t="str">
        <f t="shared" si="49"/>
        <v/>
      </c>
      <c r="O77" s="177"/>
      <c r="P77" s="177"/>
      <c r="Q77" s="177"/>
      <c r="R77" s="255" t="str">
        <f t="shared" si="50"/>
        <v/>
      </c>
      <c r="S77" s="120"/>
      <c r="T77" s="742" t="s">
        <v>65</v>
      </c>
      <c r="U77" s="742"/>
      <c r="V77" s="26" t="s">
        <v>74</v>
      </c>
      <c r="W77" s="741" t="s">
        <v>75</v>
      </c>
      <c r="X77" s="741"/>
      <c r="Y77" s="181">
        <f>SUMIFS('F3 - Relevé du personnel'!$E$4:$E$281,'F3 - Relevé du personnel'!$D$4:$D$281,$V77,'F3 - Relevé du personnel'!$C$4:$C$281,'F0 - Données générales'!$K$31,'F3 - Relevé du personnel'!$B$4:$B$281,"8.2")</f>
        <v>0</v>
      </c>
      <c r="Z77" s="181">
        <f>SUMIFS('F3 - Relevé du personnel'!$H$4:$H$281,'F3 - Relevé du personnel'!$D$4:$D$281,$V77,'F3 - Relevé du personnel'!$C$4:$C$281,'F0 - Données générales'!$K$31,'F3 - Relevé du personnel'!$B$4:$B$281,"8.2")</f>
        <v>0</v>
      </c>
      <c r="AA77" s="256">
        <f>SUMIFS('F3 - Relevé du personnel'!$I$4:$I$281,'F3 - Relevé du personnel'!$D$4:$D$281,$V77,'F3 - Relevé du personnel'!$C$4:$C$281,'F0 - Données générales'!$K$31,'F3 - Relevé du personnel'!$B$4:$B$281,"8.2")</f>
        <v>0</v>
      </c>
      <c r="AB77" s="256">
        <f>SUMIFS('F3 - Relevé du personnel'!$M$4:$M$281,'F3 - Relevé du personnel'!$D$4:$D$281,$V77,'F3 - Relevé du personnel'!$C$4:$C$281,'F0 - Données générales'!$K$31,'F3 - Relevé du personnel'!$B$4:$B$281,"8.2")</f>
        <v>0</v>
      </c>
      <c r="AC77" s="196">
        <f t="shared" si="51"/>
        <v>0</v>
      </c>
      <c r="AD77" s="256">
        <f>SUMIFS('F3 - Relevé du personnel'!$O$4:$O$281,'F3 - Relevé du personnel'!$D$4:$D$281,$V77,'F3 - Relevé du personnel'!$C$4:$C$281,'F0 - Données générales'!$K$31,'F3 - Relevé du personnel'!$B$4:$B$281,"8.2")</f>
        <v>0</v>
      </c>
      <c r="AE77" s="256">
        <f>SUMIFS('F3 - Relevé du personnel'!$P$4:$P$281,'F3 - Relevé du personnel'!$D$4:$D$281,$V77,'F3 - Relevé du personnel'!$C$4:$C$281,'F0 - Données générales'!$K$31,'F3 - Relevé du personnel'!$B$4:$B$281,"8.2")</f>
        <v>0</v>
      </c>
      <c r="AF77" s="256">
        <f>SUMIFS('F3 - Relevé du personnel'!$Q$4:$Q$281,'F3 - Relevé du personnel'!$D$4:$D$281,$V77,'F3 - Relevé du personnel'!$C$4:$C$281,'F0 - Données générales'!$K$31,'F3 - Relevé du personnel'!$B$4:$B$281,"8.2")</f>
        <v>0</v>
      </c>
      <c r="AG77" s="182">
        <f t="shared" si="52"/>
        <v>0</v>
      </c>
      <c r="AH77" s="197" t="str">
        <f t="shared" si="53"/>
        <v/>
      </c>
      <c r="AI77" s="198" t="str">
        <f>IF(Y77=0,"",(SUMPRODUCT(($D$4:$D$253=V77)*($C$4:$C$253='F0 - Données générales'!$K$31)*($E$4:$E$253)*($F$4:$F$253)*($B$4:$B$253="8.2"))+SUMPRODUCT(($D$257:$D$281=V77)*($C$257:$C$281='F0 - Données générales'!$K$31)*($B$257:$B$281="8.2")*($E$257:$E$281)*($F$257:$F$281)))/(SUMIFS('F3 - Relevé du personnel'!$E$4:$E$281,'F3 - Relevé du personnel'!$D$4:$D$281,$V77,'F3 - Relevé du personnel'!$C$4:$C$281,'F0 - Données générales'!$K$31,'F3 - Relevé du personnel'!$B$4:$B$281,"8.2")))</f>
        <v/>
      </c>
      <c r="AJ77" s="120"/>
      <c r="AK77" s="742" t="s">
        <v>65</v>
      </c>
      <c r="AL77" s="742"/>
      <c r="AM77" s="26" t="s">
        <v>74</v>
      </c>
      <c r="AN77" s="741" t="s">
        <v>75</v>
      </c>
      <c r="AO77" s="741"/>
      <c r="AP77" s="181">
        <f>SUMIFS('F3 - Relevé du personnel'!$E$4:$E$281,'F3 - Relevé du personnel'!$D$4:$D$281,$AM77,'F3 - Relevé du personnel'!$C$4:$C$281,'F0 - Données générales'!$K$31,'F3 - Relevé du personnel'!$B$4:$B$281,"AUSC")</f>
        <v>0</v>
      </c>
      <c r="AQ77" s="181">
        <f>SUMIFS('F3 - Relevé du personnel'!$H$4:$H$281,'F3 - Relevé du personnel'!$D$4:$D$281,$AM77,'F3 - Relevé du personnel'!$C$4:$C$281,'F0 - Données générales'!$K$31,'F3 - Relevé du personnel'!$B$4:$B$281,"AUSC")</f>
        <v>0</v>
      </c>
      <c r="AR77" s="256">
        <f>SUMIFS('F3 - Relevé du personnel'!$I$4:$I$281,'F3 - Relevé du personnel'!$D$4:$D$281,$AM77,'F3 - Relevé du personnel'!$C$4:$C$281,'F0 - Données générales'!$K$31,'F3 - Relevé du personnel'!$B$4:$B$281,"AUSC")</f>
        <v>0</v>
      </c>
      <c r="AS77" s="256">
        <f>SUMIFS('F3 - Relevé du personnel'!$M$4:$M$281,'F3 - Relevé du personnel'!$D$4:$D$281,$AM77,'F3 - Relevé du personnel'!$C$4:$C$281,'F0 - Données générales'!$K$31,'F3 - Relevé du personnel'!$B$4:$B$281,"AUSC")</f>
        <v>0</v>
      </c>
      <c r="AT77" s="196">
        <f t="shared" si="54"/>
        <v>0</v>
      </c>
      <c r="AU77" s="256">
        <f>SUMIFS('F3 - Relevé du personnel'!$O$4:$O$281,'F3 - Relevé du personnel'!$D$4:$D$281,$AM77,'F3 - Relevé du personnel'!$C$4:$C$281,'F0 - Données générales'!$K$31,'F3 - Relevé du personnel'!$B$4:$B$281,"AUSC")</f>
        <v>0</v>
      </c>
      <c r="AV77" s="256">
        <f>SUMIFS('F3 - Relevé du personnel'!$P$4:$P$281,'F3 - Relevé du personnel'!$D$4:$D$281,$AM77,'F3 - Relevé du personnel'!$C$4:$C$281,'F0 - Données générales'!$K$31,'F3 - Relevé du personnel'!$B$4:$B$281,"AUSC")</f>
        <v>0</v>
      </c>
      <c r="AW77" s="256">
        <f>SUMIFS('F3 - Relevé du personnel'!$Q$4:$Q$281,'F3 - Relevé du personnel'!$D$4:$D$281,$AM77,'F3 - Relevé du personnel'!$C$4:$C$281,'F0 - Données générales'!$K$31,'F3 - Relevé du personnel'!$B$4:$B$281,"AUSC")</f>
        <v>0</v>
      </c>
      <c r="AX77" s="182">
        <f t="shared" si="55"/>
        <v>0</v>
      </c>
      <c r="AY77" s="197" t="str">
        <f t="shared" si="56"/>
        <v/>
      </c>
      <c r="AZ77" s="198" t="str">
        <f>IF(AP77=0,"",(SUMPRODUCT(($D$4:$D$253=AM77)*($C$4:$C$253='F0 - Données générales'!$K$31)*($E$4:$E$253)*($F$4:$F$253)*($B$4:$B$253="AUSC"))+SUMPRODUCT(($D$257:$D$281=AM77)*($C$257:$C$281='F0 - Données générales'!$K$31)*($B$257:$B$281="AUSC")*($E$257:$E$281)*($F$257:$F$281)))/(SUMIFS('F3 - Relevé du personnel'!$E$4:$E$281,'F3 - Relevé du personnel'!$D$4:$D$281,$AM77,'F3 - Relevé du personnel'!$C$4:$C$281,'F0 - Données générales'!$K$31,'F3 - Relevé du personnel'!$B$4:$B$281,"AUSC")))</f>
        <v/>
      </c>
      <c r="BA77" s="120"/>
      <c r="BB77" s="770"/>
      <c r="BC77" s="771"/>
      <c r="BD77" s="770"/>
      <c r="BE77" s="781"/>
      <c r="BF77" s="771"/>
      <c r="BG77" s="813"/>
      <c r="BH77" s="813"/>
      <c r="BI77" s="813"/>
      <c r="BJ77" s="813"/>
      <c r="BK77" s="813"/>
      <c r="BL77" s="813"/>
      <c r="BM77" s="813"/>
      <c r="BN77" s="813"/>
      <c r="BO77" s="813"/>
      <c r="BP77" s="813"/>
      <c r="BQ77" s="171"/>
      <c r="BR77" s="170"/>
    </row>
    <row r="78" spans="1:74" ht="15" customHeight="1" x14ac:dyDescent="0.3">
      <c r="A78" s="106">
        <v>75</v>
      </c>
      <c r="B78" s="324">
        <f>'F0 - Données générales'!$C$4</f>
        <v>7</v>
      </c>
      <c r="C78" s="106" t="s">
        <v>95</v>
      </c>
      <c r="D78" s="106"/>
      <c r="E78" s="107"/>
      <c r="F78" s="108"/>
      <c r="G78" s="109"/>
      <c r="H78" s="110">
        <f t="shared" si="47"/>
        <v>0</v>
      </c>
      <c r="I78" s="177"/>
      <c r="J78" s="118" t="str">
        <f>IF(OR(D78="",F78=""),"",(((HLOOKUP(D78,'Carrières et points'!$A$20:$AD$60,F78+2,FALSE)*'Carrières et points'!$C$7*'Carrières et points'!$C$9)+(HLOOKUP(D78,'Carrières et points'!$A$20:$AD$60,F78+2,FALSE)*'Carrières et points'!$C$13*'Carrières et points'!$C$15))*(1+'F0 - Données générales'!$I$4)+((HLOOKUP(D78,'Carrières et points'!$A$20:$AD$60,F78+2,FALSE)*'Carrières et points'!$C$7*'Carrières et points'!$C$9)+(HLOOKUP(D78,'Carrières et points'!$A$20:$AD$60,F78+2,FALSE)*'Carrières et points'!$C$13*'Carrières et points'!$C$15))/12*(1+'F0 - Données générales'!$L$13))*E78)</f>
        <v/>
      </c>
      <c r="K78" s="118" t="str">
        <f t="shared" si="48"/>
        <v/>
      </c>
      <c r="L78" s="109"/>
      <c r="M78" s="177"/>
      <c r="N78" s="118" t="str">
        <f t="shared" si="49"/>
        <v/>
      </c>
      <c r="O78" s="177"/>
      <c r="P78" s="177"/>
      <c r="Q78" s="177"/>
      <c r="R78" s="255" t="str">
        <f t="shared" si="50"/>
        <v/>
      </c>
      <c r="S78" s="120"/>
      <c r="T78" s="742" t="s">
        <v>65</v>
      </c>
      <c r="U78" s="742"/>
      <c r="V78" s="26" t="s">
        <v>76</v>
      </c>
      <c r="W78" s="741" t="s">
        <v>77</v>
      </c>
      <c r="X78" s="741"/>
      <c r="Y78" s="181">
        <f>SUMIFS('F3 - Relevé du personnel'!$E$4:$E$281,'F3 - Relevé du personnel'!$D$4:$D$281,$V78,'F3 - Relevé du personnel'!$C$4:$C$281,'F0 - Données générales'!$K$31,'F3 - Relevé du personnel'!$B$4:$B$281,"8.2")</f>
        <v>0</v>
      </c>
      <c r="Z78" s="181">
        <f>SUMIFS('F3 - Relevé du personnel'!$H$4:$H$281,'F3 - Relevé du personnel'!$D$4:$D$281,$V78,'F3 - Relevé du personnel'!$C$4:$C$281,'F0 - Données générales'!$K$31,'F3 - Relevé du personnel'!$B$4:$B$281,"8.2")</f>
        <v>0</v>
      </c>
      <c r="AA78" s="256">
        <f>SUMIFS('F3 - Relevé du personnel'!$I$4:$I$281,'F3 - Relevé du personnel'!$D$4:$D$281,$V78,'F3 - Relevé du personnel'!$C$4:$C$281,'F0 - Données générales'!$K$31,'F3 - Relevé du personnel'!$B$4:$B$281,"8.2")</f>
        <v>0</v>
      </c>
      <c r="AB78" s="256">
        <f>SUMIFS('F3 - Relevé du personnel'!$M$4:$M$281,'F3 - Relevé du personnel'!$D$4:$D$281,$V78,'F3 - Relevé du personnel'!$C$4:$C$281,'F0 - Données générales'!$K$31,'F3 - Relevé du personnel'!$B$4:$B$281,"8.2")</f>
        <v>0</v>
      </c>
      <c r="AC78" s="196">
        <f t="shared" si="51"/>
        <v>0</v>
      </c>
      <c r="AD78" s="256">
        <f>SUMIFS('F3 - Relevé du personnel'!$O$4:$O$281,'F3 - Relevé du personnel'!$D$4:$D$281,$V78,'F3 - Relevé du personnel'!$C$4:$C$281,'F0 - Données générales'!$K$31,'F3 - Relevé du personnel'!$B$4:$B$281,"8.2")</f>
        <v>0</v>
      </c>
      <c r="AE78" s="256">
        <f>SUMIFS('F3 - Relevé du personnel'!$P$4:$P$281,'F3 - Relevé du personnel'!$D$4:$D$281,$V78,'F3 - Relevé du personnel'!$C$4:$C$281,'F0 - Données générales'!$K$31,'F3 - Relevé du personnel'!$B$4:$B$281,"8.2")</f>
        <v>0</v>
      </c>
      <c r="AF78" s="256">
        <f>SUMIFS('F3 - Relevé du personnel'!$Q$4:$Q$281,'F3 - Relevé du personnel'!$D$4:$D$281,$V78,'F3 - Relevé du personnel'!$C$4:$C$281,'F0 - Données générales'!$K$31,'F3 - Relevé du personnel'!$B$4:$B$281,"8.2")</f>
        <v>0</v>
      </c>
      <c r="AG78" s="182">
        <f t="shared" si="52"/>
        <v>0</v>
      </c>
      <c r="AH78" s="197" t="str">
        <f t="shared" si="53"/>
        <v/>
      </c>
      <c r="AI78" s="198" t="str">
        <f>IF(Y78=0,"",(SUMPRODUCT(($D$4:$D$253=V78)*($C$4:$C$253='F0 - Données générales'!$K$31)*($E$4:$E$253)*($F$4:$F$253)*($B$4:$B$253="8.2"))+SUMPRODUCT(($D$257:$D$281=V78)*($C$257:$C$281='F0 - Données générales'!$K$31)*($B$257:$B$281="8.2")*($E$257:$E$281)*($F$257:$F$281)))/(SUMIFS('F3 - Relevé du personnel'!$E$4:$E$281,'F3 - Relevé du personnel'!$D$4:$D$281,$V78,'F3 - Relevé du personnel'!$C$4:$C$281,'F0 - Données générales'!$K$31,'F3 - Relevé du personnel'!$B$4:$B$281,"8.2")))</f>
        <v/>
      </c>
      <c r="AJ78" s="120"/>
      <c r="AK78" s="742" t="s">
        <v>65</v>
      </c>
      <c r="AL78" s="742"/>
      <c r="AM78" s="26" t="s">
        <v>76</v>
      </c>
      <c r="AN78" s="741" t="s">
        <v>77</v>
      </c>
      <c r="AO78" s="741"/>
      <c r="AP78" s="181">
        <f>SUMIFS('F3 - Relevé du personnel'!$E$4:$E$281,'F3 - Relevé du personnel'!$D$4:$D$281,$AM78,'F3 - Relevé du personnel'!$C$4:$C$281,'F0 - Données générales'!$K$31,'F3 - Relevé du personnel'!$B$4:$B$281,"AUSC")</f>
        <v>0</v>
      </c>
      <c r="AQ78" s="181">
        <f>SUMIFS('F3 - Relevé du personnel'!$H$4:$H$281,'F3 - Relevé du personnel'!$D$4:$D$281,$AM78,'F3 - Relevé du personnel'!$C$4:$C$281,'F0 - Données générales'!$K$31,'F3 - Relevé du personnel'!$B$4:$B$281,"AUSC")</f>
        <v>0</v>
      </c>
      <c r="AR78" s="256">
        <f>SUMIFS('F3 - Relevé du personnel'!$I$4:$I$281,'F3 - Relevé du personnel'!$D$4:$D$281,$AM78,'F3 - Relevé du personnel'!$C$4:$C$281,'F0 - Données générales'!$K$31,'F3 - Relevé du personnel'!$B$4:$B$281,"AUSC")</f>
        <v>0</v>
      </c>
      <c r="AS78" s="256">
        <f>SUMIFS('F3 - Relevé du personnel'!$M$4:$M$281,'F3 - Relevé du personnel'!$D$4:$D$281,$AM78,'F3 - Relevé du personnel'!$C$4:$C$281,'F0 - Données générales'!$K$31,'F3 - Relevé du personnel'!$B$4:$B$281,"AUSC")</f>
        <v>0</v>
      </c>
      <c r="AT78" s="196">
        <f t="shared" si="54"/>
        <v>0</v>
      </c>
      <c r="AU78" s="256">
        <f>SUMIFS('F3 - Relevé du personnel'!$O$4:$O$281,'F3 - Relevé du personnel'!$D$4:$D$281,$AM78,'F3 - Relevé du personnel'!$C$4:$C$281,'F0 - Données générales'!$K$31,'F3 - Relevé du personnel'!$B$4:$B$281,"AUSC")</f>
        <v>0</v>
      </c>
      <c r="AV78" s="256">
        <f>SUMIFS('F3 - Relevé du personnel'!$P$4:$P$281,'F3 - Relevé du personnel'!$D$4:$D$281,$AM78,'F3 - Relevé du personnel'!$C$4:$C$281,'F0 - Données générales'!$K$31,'F3 - Relevé du personnel'!$B$4:$B$281,"AUSC")</f>
        <v>0</v>
      </c>
      <c r="AW78" s="256">
        <f>SUMIFS('F3 - Relevé du personnel'!$Q$4:$Q$281,'F3 - Relevé du personnel'!$D$4:$D$281,$AM78,'F3 - Relevé du personnel'!$C$4:$C$281,'F0 - Données générales'!$K$31,'F3 - Relevé du personnel'!$B$4:$B$281,"AUSC")</f>
        <v>0</v>
      </c>
      <c r="AX78" s="182">
        <f t="shared" si="55"/>
        <v>0</v>
      </c>
      <c r="AY78" s="197" t="str">
        <f t="shared" si="56"/>
        <v/>
      </c>
      <c r="AZ78" s="198" t="str">
        <f>IF(AP78=0,"",(SUMPRODUCT(($D$4:$D$253=AM78)*($C$4:$C$253='F0 - Données générales'!$K$31)*($E$4:$E$253)*($F$4:$F$253)*($B$4:$B$253="AUSC"))+SUMPRODUCT(($D$257:$D$281=AM78)*($C$257:$C$281='F0 - Données générales'!$K$31)*($B$257:$B$281="AUSC")*($E$257:$E$281)*($F$257:$F$281)))/(SUMIFS('F3 - Relevé du personnel'!$E$4:$E$281,'F3 - Relevé du personnel'!$D$4:$D$281,$AM78,'F3 - Relevé du personnel'!$C$4:$C$281,'F0 - Données générales'!$K$31,'F3 - Relevé du personnel'!$B$4:$B$281,"AUSC")))</f>
        <v/>
      </c>
      <c r="BA78" s="120"/>
      <c r="BB78" s="770"/>
      <c r="BC78" s="771"/>
      <c r="BD78" s="770"/>
      <c r="BE78" s="781"/>
      <c r="BF78" s="771"/>
      <c r="BG78" s="813"/>
      <c r="BH78" s="813"/>
      <c r="BI78" s="813"/>
      <c r="BJ78" s="813"/>
      <c r="BK78" s="813"/>
      <c r="BL78" s="813"/>
      <c r="BM78" s="813"/>
      <c r="BN78" s="813"/>
      <c r="BO78" s="813"/>
      <c r="BP78" s="813"/>
      <c r="BQ78" s="171"/>
      <c r="BR78" s="170"/>
    </row>
    <row r="79" spans="1:74" ht="15" customHeight="1" x14ac:dyDescent="0.3">
      <c r="A79" s="106">
        <v>76</v>
      </c>
      <c r="B79" s="324">
        <f>'F0 - Données générales'!$C$4</f>
        <v>7</v>
      </c>
      <c r="C79" s="106" t="s">
        <v>95</v>
      </c>
      <c r="D79" s="106"/>
      <c r="E79" s="107"/>
      <c r="F79" s="108"/>
      <c r="G79" s="109"/>
      <c r="H79" s="110">
        <f t="shared" si="47"/>
        <v>0</v>
      </c>
      <c r="I79" s="177"/>
      <c r="J79" s="118" t="str">
        <f>IF(OR(D79="",F79=""),"",(((HLOOKUP(D79,'Carrières et points'!$A$20:$AD$60,F79+2,FALSE)*'Carrières et points'!$C$7*'Carrières et points'!$C$9)+(HLOOKUP(D79,'Carrières et points'!$A$20:$AD$60,F79+2,FALSE)*'Carrières et points'!$C$13*'Carrières et points'!$C$15))*(1+'F0 - Données générales'!$I$4)+((HLOOKUP(D79,'Carrières et points'!$A$20:$AD$60,F79+2,FALSE)*'Carrières et points'!$C$7*'Carrières et points'!$C$9)+(HLOOKUP(D79,'Carrières et points'!$A$20:$AD$60,F79+2,FALSE)*'Carrières et points'!$C$13*'Carrières et points'!$C$15))/12*(1+'F0 - Données générales'!$L$13))*E79)</f>
        <v/>
      </c>
      <c r="K79" s="118" t="str">
        <f t="shared" si="48"/>
        <v/>
      </c>
      <c r="L79" s="109"/>
      <c r="M79" s="177"/>
      <c r="N79" s="118" t="str">
        <f t="shared" si="49"/>
        <v/>
      </c>
      <c r="O79" s="177"/>
      <c r="P79" s="177"/>
      <c r="Q79" s="177"/>
      <c r="R79" s="255" t="str">
        <f t="shared" si="50"/>
        <v/>
      </c>
      <c r="S79" s="120"/>
      <c r="T79" s="742" t="s">
        <v>65</v>
      </c>
      <c r="U79" s="742"/>
      <c r="V79" s="26" t="s">
        <v>252</v>
      </c>
      <c r="W79" s="741" t="s">
        <v>78</v>
      </c>
      <c r="X79" s="741"/>
      <c r="Y79" s="181">
        <f>SUMIFS('F3 - Relevé du personnel'!$E$4:$E$281,'F3 - Relevé du personnel'!$D$4:$D$281,$V79,'F3 - Relevé du personnel'!$C$4:$C$281,'F0 - Données générales'!$K$31,'F3 - Relevé du personnel'!$B$4:$B$281,"8.2")</f>
        <v>0</v>
      </c>
      <c r="Z79" s="181">
        <f>SUMIFS('F3 - Relevé du personnel'!$H$4:$H$281,'F3 - Relevé du personnel'!$D$4:$D$281,$V79,'F3 - Relevé du personnel'!$C$4:$C$281,'F0 - Données générales'!$K$31,'F3 - Relevé du personnel'!$B$4:$B$281,"8.2")</f>
        <v>0</v>
      </c>
      <c r="AA79" s="256">
        <f>SUMIFS('F3 - Relevé du personnel'!$I$4:$I$281,'F3 - Relevé du personnel'!$D$4:$D$281,$V79,'F3 - Relevé du personnel'!$C$4:$C$281,'F0 - Données générales'!$K$31,'F3 - Relevé du personnel'!$B$4:$B$281,"8.2")</f>
        <v>0</v>
      </c>
      <c r="AB79" s="256">
        <f>SUMIFS('F3 - Relevé du personnel'!$M$4:$M$281,'F3 - Relevé du personnel'!$D$4:$D$281,$V79,'F3 - Relevé du personnel'!$C$4:$C$281,'F0 - Données générales'!$K$31,'F3 - Relevé du personnel'!$B$4:$B$281,"8.2")</f>
        <v>0</v>
      </c>
      <c r="AC79" s="196">
        <f t="shared" si="51"/>
        <v>0</v>
      </c>
      <c r="AD79" s="256">
        <f>SUMIFS('F3 - Relevé du personnel'!$O$4:$O$281,'F3 - Relevé du personnel'!$D$4:$D$281,$V79,'F3 - Relevé du personnel'!$C$4:$C$281,'F0 - Données générales'!$K$31,'F3 - Relevé du personnel'!$B$4:$B$281,"8.2")</f>
        <v>0</v>
      </c>
      <c r="AE79" s="256">
        <f>SUMIFS('F3 - Relevé du personnel'!$P$4:$P$281,'F3 - Relevé du personnel'!$D$4:$D$281,$V79,'F3 - Relevé du personnel'!$C$4:$C$281,'F0 - Données générales'!$K$31,'F3 - Relevé du personnel'!$B$4:$B$281,"8.2")</f>
        <v>0</v>
      </c>
      <c r="AF79" s="256">
        <f>SUMIFS('F3 - Relevé du personnel'!$Q$4:$Q$281,'F3 - Relevé du personnel'!$D$4:$D$281,$V79,'F3 - Relevé du personnel'!$C$4:$C$281,'F0 - Données générales'!$K$31,'F3 - Relevé du personnel'!$B$4:$B$281,"8.2")</f>
        <v>0</v>
      </c>
      <c r="AG79" s="182">
        <f t="shared" si="52"/>
        <v>0</v>
      </c>
      <c r="AH79" s="197" t="str">
        <f t="shared" si="53"/>
        <v/>
      </c>
      <c r="AI79" s="198" t="str">
        <f>IF(Y79=0,"",(SUMPRODUCT(($D$4:$D$253=V79)*($C$4:$C$253='F0 - Données générales'!$K$31)*($E$4:$E$253)*($F$4:$F$253)*($B$4:$B$253="8.2"))+SUMPRODUCT(($D$257:$D$281=V79)*($C$257:$C$281='F0 - Données générales'!$K$31)*($B$257:$B$281="8.2")*($E$257:$E$281)*($F$257:$F$281)))/(SUMIFS('F3 - Relevé du personnel'!$E$4:$E$281,'F3 - Relevé du personnel'!$D$4:$D$281,$V79,'F3 - Relevé du personnel'!$C$4:$C$281,'F0 - Données générales'!$K$31,'F3 - Relevé du personnel'!$B$4:$B$281,"8.2")))</f>
        <v/>
      </c>
      <c r="AJ79" s="120"/>
      <c r="AK79" s="742" t="s">
        <v>65</v>
      </c>
      <c r="AL79" s="742"/>
      <c r="AM79" s="26" t="s">
        <v>252</v>
      </c>
      <c r="AN79" s="741" t="s">
        <v>78</v>
      </c>
      <c r="AO79" s="741"/>
      <c r="AP79" s="181">
        <f>SUMIFS('F3 - Relevé du personnel'!$E$4:$E$281,'F3 - Relevé du personnel'!$D$4:$D$281,$AM79,'F3 - Relevé du personnel'!$C$4:$C$281,'F0 - Données générales'!$K$31,'F3 - Relevé du personnel'!$B$4:$B$281,"AUSC")</f>
        <v>0</v>
      </c>
      <c r="AQ79" s="181">
        <f>SUMIFS('F3 - Relevé du personnel'!$H$4:$H$281,'F3 - Relevé du personnel'!$D$4:$D$281,$AM79,'F3 - Relevé du personnel'!$C$4:$C$281,'F0 - Données générales'!$K$31,'F3 - Relevé du personnel'!$B$4:$B$281,"AUSC")</f>
        <v>0</v>
      </c>
      <c r="AR79" s="256">
        <f>SUMIFS('F3 - Relevé du personnel'!$I$4:$I$281,'F3 - Relevé du personnel'!$D$4:$D$281,$AM79,'F3 - Relevé du personnel'!$C$4:$C$281,'F0 - Données générales'!$K$31,'F3 - Relevé du personnel'!$B$4:$B$281,"AUSC")</f>
        <v>0</v>
      </c>
      <c r="AS79" s="256">
        <f>SUMIFS('F3 - Relevé du personnel'!$M$4:$M$281,'F3 - Relevé du personnel'!$D$4:$D$281,$AM79,'F3 - Relevé du personnel'!$C$4:$C$281,'F0 - Données générales'!$K$31,'F3 - Relevé du personnel'!$B$4:$B$281,"AUSC")</f>
        <v>0</v>
      </c>
      <c r="AT79" s="196">
        <f t="shared" si="54"/>
        <v>0</v>
      </c>
      <c r="AU79" s="256">
        <f>SUMIFS('F3 - Relevé du personnel'!$O$4:$O$281,'F3 - Relevé du personnel'!$D$4:$D$281,$AM79,'F3 - Relevé du personnel'!$C$4:$C$281,'F0 - Données générales'!$K$31,'F3 - Relevé du personnel'!$B$4:$B$281,"AUSC")</f>
        <v>0</v>
      </c>
      <c r="AV79" s="256">
        <f>SUMIFS('F3 - Relevé du personnel'!$P$4:$P$281,'F3 - Relevé du personnel'!$D$4:$D$281,$AM79,'F3 - Relevé du personnel'!$C$4:$C$281,'F0 - Données générales'!$K$31,'F3 - Relevé du personnel'!$B$4:$B$281,"AUSC")</f>
        <v>0</v>
      </c>
      <c r="AW79" s="256">
        <f>SUMIFS('F3 - Relevé du personnel'!$Q$4:$Q$281,'F3 - Relevé du personnel'!$D$4:$D$281,$AM79,'F3 - Relevé du personnel'!$C$4:$C$281,'F0 - Données générales'!$K$31,'F3 - Relevé du personnel'!$B$4:$B$281,"AUSC")</f>
        <v>0</v>
      </c>
      <c r="AX79" s="182">
        <f t="shared" si="55"/>
        <v>0</v>
      </c>
      <c r="AY79" s="197" t="str">
        <f t="shared" si="56"/>
        <v/>
      </c>
      <c r="AZ79" s="198" t="str">
        <f>IF(AP79=0,"",(SUMPRODUCT(($D$4:$D$253=AM79)*($C$4:$C$253='F0 - Données générales'!$K$31)*($E$4:$E$253)*($F$4:$F$253)*($B$4:$B$253="AUSC"))+SUMPRODUCT(($D$257:$D$281=AM79)*($C$257:$C$281='F0 - Données générales'!$K$31)*($B$257:$B$281="AUSC")*($E$257:$E$281)*($F$257:$F$281)))/(SUMIFS('F3 - Relevé du personnel'!$E$4:$E$281,'F3 - Relevé du personnel'!$D$4:$D$281,$AM79,'F3 - Relevé du personnel'!$C$4:$C$281,'F0 - Données générales'!$K$31,'F3 - Relevé du personnel'!$B$4:$B$281,"AUSC")))</f>
        <v/>
      </c>
      <c r="BA79" s="120"/>
      <c r="BB79" s="770"/>
      <c r="BC79" s="771"/>
      <c r="BD79" s="770"/>
      <c r="BE79" s="781"/>
      <c r="BF79" s="771"/>
      <c r="BG79" s="813"/>
      <c r="BH79" s="813"/>
      <c r="BI79" s="813"/>
      <c r="BJ79" s="813"/>
      <c r="BK79" s="813"/>
      <c r="BL79" s="813"/>
      <c r="BM79" s="813"/>
      <c r="BN79" s="813"/>
      <c r="BO79" s="813"/>
      <c r="BP79" s="813"/>
      <c r="BQ79" s="171"/>
      <c r="BR79" s="170"/>
    </row>
    <row r="80" spans="1:74" ht="15" customHeight="1" x14ac:dyDescent="0.3">
      <c r="A80" s="106">
        <v>77</v>
      </c>
      <c r="B80" s="324">
        <f>'F0 - Données générales'!$C$4</f>
        <v>7</v>
      </c>
      <c r="C80" s="106" t="s">
        <v>95</v>
      </c>
      <c r="D80" s="106"/>
      <c r="E80" s="107"/>
      <c r="F80" s="108"/>
      <c r="G80" s="109"/>
      <c r="H80" s="110">
        <f t="shared" si="47"/>
        <v>0</v>
      </c>
      <c r="I80" s="177"/>
      <c r="J80" s="118" t="str">
        <f>IF(OR(D80="",F80=""),"",(((HLOOKUP(D80,'Carrières et points'!$A$20:$AD$60,F80+2,FALSE)*'Carrières et points'!$C$7*'Carrières et points'!$C$9)+(HLOOKUP(D80,'Carrières et points'!$A$20:$AD$60,F80+2,FALSE)*'Carrières et points'!$C$13*'Carrières et points'!$C$15))*(1+'F0 - Données générales'!$I$4)+((HLOOKUP(D80,'Carrières et points'!$A$20:$AD$60,F80+2,FALSE)*'Carrières et points'!$C$7*'Carrières et points'!$C$9)+(HLOOKUP(D80,'Carrières et points'!$A$20:$AD$60,F80+2,FALSE)*'Carrières et points'!$C$13*'Carrières et points'!$C$15))/12*(1+'F0 - Données générales'!$L$13))*E80)</f>
        <v/>
      </c>
      <c r="K80" s="118" t="str">
        <f t="shared" si="48"/>
        <v/>
      </c>
      <c r="L80" s="109"/>
      <c r="M80" s="177"/>
      <c r="N80" s="118" t="str">
        <f t="shared" si="49"/>
        <v/>
      </c>
      <c r="O80" s="177"/>
      <c r="P80" s="177"/>
      <c r="Q80" s="177"/>
      <c r="R80" s="255" t="str">
        <f t="shared" si="50"/>
        <v/>
      </c>
      <c r="S80" s="120"/>
      <c r="T80" s="742" t="s">
        <v>79</v>
      </c>
      <c r="U80" s="742"/>
      <c r="V80" s="26" t="s">
        <v>253</v>
      </c>
      <c r="W80" s="741" t="s">
        <v>78</v>
      </c>
      <c r="X80" s="741"/>
      <c r="Y80" s="181">
        <f>SUMIFS('F3 - Relevé du personnel'!$E$4:$E$281,'F3 - Relevé du personnel'!$D$4:$D$281,$V80,'F3 - Relevé du personnel'!$C$4:$C$281,'F0 - Données générales'!$K$31,'F3 - Relevé du personnel'!$B$4:$B$281,"8.2")</f>
        <v>0</v>
      </c>
      <c r="Z80" s="181">
        <f>SUMIFS('F3 - Relevé du personnel'!$H$4:$H$281,'F3 - Relevé du personnel'!$D$4:$D$281,$V80,'F3 - Relevé du personnel'!$C$4:$C$281,'F0 - Données générales'!$K$31,'F3 - Relevé du personnel'!$B$4:$B$281,"8.2")</f>
        <v>0</v>
      </c>
      <c r="AA80" s="256">
        <f>SUMIFS('F3 - Relevé du personnel'!$I$4:$I$281,'F3 - Relevé du personnel'!$D$4:$D$281,$V80,'F3 - Relevé du personnel'!$C$4:$C$281,'F0 - Données générales'!$K$31,'F3 - Relevé du personnel'!$B$4:$B$281,"8.2")</f>
        <v>0</v>
      </c>
      <c r="AB80" s="256">
        <f>SUMIFS('F3 - Relevé du personnel'!$M$4:$M$281,'F3 - Relevé du personnel'!$D$4:$D$281,$V80,'F3 - Relevé du personnel'!$C$4:$C$281,'F0 - Données générales'!$K$31,'F3 - Relevé du personnel'!$B$4:$B$281,"8.2")</f>
        <v>0</v>
      </c>
      <c r="AC80" s="196">
        <f t="shared" si="51"/>
        <v>0</v>
      </c>
      <c r="AD80" s="256">
        <f>SUMIFS('F3 - Relevé du personnel'!$O$4:$O$281,'F3 - Relevé du personnel'!$D$4:$D$281,$V80,'F3 - Relevé du personnel'!$C$4:$C$281,'F0 - Données générales'!$K$31,'F3 - Relevé du personnel'!$B$4:$B$281,"8.2")</f>
        <v>0</v>
      </c>
      <c r="AE80" s="256">
        <f>SUMIFS('F3 - Relevé du personnel'!$P$4:$P$281,'F3 - Relevé du personnel'!$D$4:$D$281,$V80,'F3 - Relevé du personnel'!$C$4:$C$281,'F0 - Données générales'!$K$31,'F3 - Relevé du personnel'!$B$4:$B$281,"8.2")</f>
        <v>0</v>
      </c>
      <c r="AF80" s="256">
        <f>SUMIFS('F3 - Relevé du personnel'!$Q$4:$Q$281,'F3 - Relevé du personnel'!$D$4:$D$281,$V80,'F3 - Relevé du personnel'!$C$4:$C$281,'F0 - Données générales'!$K$31,'F3 - Relevé du personnel'!$B$4:$B$281,"8.2")</f>
        <v>0</v>
      </c>
      <c r="AG80" s="182">
        <f t="shared" si="52"/>
        <v>0</v>
      </c>
      <c r="AH80" s="197" t="str">
        <f t="shared" si="53"/>
        <v/>
      </c>
      <c r="AI80" s="198" t="str">
        <f>IF(Y80=0,"",(SUMPRODUCT(($D$4:$D$253=V80)*($C$4:$C$253='F0 - Données générales'!$K$31)*($E$4:$E$253)*($F$4:$F$253)*($B$4:$B$253="8.2"))+SUMPRODUCT(($D$257:$D$281=V80)*($C$257:$C$281='F0 - Données générales'!$K$31)*($B$257:$B$281="8.2")*($E$257:$E$281)*($F$257:$F$281)))/(SUMIFS('F3 - Relevé du personnel'!$E$4:$E$281,'F3 - Relevé du personnel'!$D$4:$D$281,$V80,'F3 - Relevé du personnel'!$C$4:$C$281,'F0 - Données générales'!$K$31,'F3 - Relevé du personnel'!$B$4:$B$281,"8.2")))</f>
        <v/>
      </c>
      <c r="AJ80" s="120"/>
      <c r="AK80" s="742" t="s">
        <v>79</v>
      </c>
      <c r="AL80" s="742"/>
      <c r="AM80" s="26" t="s">
        <v>253</v>
      </c>
      <c r="AN80" s="741" t="s">
        <v>78</v>
      </c>
      <c r="AO80" s="741"/>
      <c r="AP80" s="181">
        <f>SUMIFS('F3 - Relevé du personnel'!$E$4:$E$281,'F3 - Relevé du personnel'!$D$4:$D$281,$AM80,'F3 - Relevé du personnel'!$C$4:$C$281,'F0 - Données générales'!$K$31,'F3 - Relevé du personnel'!$B$4:$B$281,"AUSC")</f>
        <v>0</v>
      </c>
      <c r="AQ80" s="181">
        <f>SUMIFS('F3 - Relevé du personnel'!$H$4:$H$281,'F3 - Relevé du personnel'!$D$4:$D$281,$AM80,'F3 - Relevé du personnel'!$C$4:$C$281,'F0 - Données générales'!$K$31,'F3 - Relevé du personnel'!$B$4:$B$281,"AUSC")</f>
        <v>0</v>
      </c>
      <c r="AR80" s="256">
        <f>SUMIFS('F3 - Relevé du personnel'!$I$4:$I$281,'F3 - Relevé du personnel'!$D$4:$D$281,$AM80,'F3 - Relevé du personnel'!$C$4:$C$281,'F0 - Données générales'!$K$31,'F3 - Relevé du personnel'!$B$4:$B$281,"AUSC")</f>
        <v>0</v>
      </c>
      <c r="AS80" s="256">
        <f>SUMIFS('F3 - Relevé du personnel'!$M$4:$M$281,'F3 - Relevé du personnel'!$D$4:$D$281,$AM80,'F3 - Relevé du personnel'!$C$4:$C$281,'F0 - Données générales'!$K$31,'F3 - Relevé du personnel'!$B$4:$B$281,"AUSC")</f>
        <v>0</v>
      </c>
      <c r="AT80" s="196">
        <f t="shared" si="54"/>
        <v>0</v>
      </c>
      <c r="AU80" s="256">
        <f>SUMIFS('F3 - Relevé du personnel'!$O$4:$O$281,'F3 - Relevé du personnel'!$D$4:$D$281,$AM80,'F3 - Relevé du personnel'!$C$4:$C$281,'F0 - Données générales'!$K$31,'F3 - Relevé du personnel'!$B$4:$B$281,"AUSC")</f>
        <v>0</v>
      </c>
      <c r="AV80" s="256">
        <f>SUMIFS('F3 - Relevé du personnel'!$P$4:$P$281,'F3 - Relevé du personnel'!$D$4:$D$281,$AM80,'F3 - Relevé du personnel'!$C$4:$C$281,'F0 - Données générales'!$K$31,'F3 - Relevé du personnel'!$B$4:$B$281,"AUSC")</f>
        <v>0</v>
      </c>
      <c r="AW80" s="256">
        <f>SUMIFS('F3 - Relevé du personnel'!$Q$4:$Q$281,'F3 - Relevé du personnel'!$D$4:$D$281,$AM80,'F3 - Relevé du personnel'!$C$4:$C$281,'F0 - Données générales'!$K$31,'F3 - Relevé du personnel'!$B$4:$B$281,"AUSC")</f>
        <v>0</v>
      </c>
      <c r="AX80" s="182">
        <f t="shared" si="55"/>
        <v>0</v>
      </c>
      <c r="AY80" s="197" t="str">
        <f t="shared" si="56"/>
        <v/>
      </c>
      <c r="AZ80" s="198" t="str">
        <f>IF(AP80=0,"",(SUMPRODUCT(($D$4:$D$253=AM80)*($C$4:$C$253='F0 - Données générales'!$K$31)*($E$4:$E$253)*($F$4:$F$253)*($B$4:$B$253="AUSC"))+SUMPRODUCT(($D$257:$D$281=AM80)*($C$257:$C$281='F0 - Données générales'!$K$31)*($B$257:$B$281="AUSC")*($E$257:$E$281)*($F$257:$F$281)))/(SUMIFS('F3 - Relevé du personnel'!$E$4:$E$281,'F3 - Relevé du personnel'!$D$4:$D$281,$AM80,'F3 - Relevé du personnel'!$C$4:$C$281,'F0 - Données générales'!$K$31,'F3 - Relevé du personnel'!$B$4:$B$281,"AUSC")))</f>
        <v/>
      </c>
      <c r="BA80" s="120"/>
      <c r="BB80" s="770"/>
      <c r="BC80" s="771"/>
      <c r="BD80" s="770"/>
      <c r="BE80" s="781"/>
      <c r="BF80" s="771"/>
      <c r="BG80" s="813"/>
      <c r="BH80" s="813"/>
      <c r="BI80" s="813"/>
      <c r="BJ80" s="813"/>
      <c r="BK80" s="813"/>
      <c r="BL80" s="813"/>
      <c r="BM80" s="813"/>
      <c r="BN80" s="813"/>
      <c r="BO80" s="813"/>
      <c r="BP80" s="813"/>
      <c r="BQ80" s="171"/>
      <c r="BR80" s="170"/>
    </row>
    <row r="81" spans="1:74" ht="15" customHeight="1" x14ac:dyDescent="0.3">
      <c r="A81" s="106">
        <v>78</v>
      </c>
      <c r="B81" s="324">
        <f>'F0 - Données générales'!$C$4</f>
        <v>7</v>
      </c>
      <c r="C81" s="106" t="s">
        <v>95</v>
      </c>
      <c r="D81" s="106"/>
      <c r="E81" s="107"/>
      <c r="F81" s="108"/>
      <c r="G81" s="109"/>
      <c r="H81" s="110">
        <f t="shared" si="47"/>
        <v>0</v>
      </c>
      <c r="I81" s="177"/>
      <c r="J81" s="118" t="str">
        <f>IF(OR(D81="",F81=""),"",(((HLOOKUP(D81,'Carrières et points'!$A$20:$AD$60,F81+2,FALSE)*'Carrières et points'!$C$7*'Carrières et points'!$C$9)+(HLOOKUP(D81,'Carrières et points'!$A$20:$AD$60,F81+2,FALSE)*'Carrières et points'!$C$13*'Carrières et points'!$C$15))*(1+'F0 - Données générales'!$I$4)+((HLOOKUP(D81,'Carrières et points'!$A$20:$AD$60,F81+2,FALSE)*'Carrières et points'!$C$7*'Carrières et points'!$C$9)+(HLOOKUP(D81,'Carrières et points'!$A$20:$AD$60,F81+2,FALSE)*'Carrières et points'!$C$13*'Carrières et points'!$C$15))/12*(1+'F0 - Données générales'!$L$13))*E81)</f>
        <v/>
      </c>
      <c r="K81" s="118" t="str">
        <f t="shared" si="48"/>
        <v/>
      </c>
      <c r="L81" s="109"/>
      <c r="M81" s="177"/>
      <c r="N81" s="118" t="str">
        <f t="shared" si="49"/>
        <v/>
      </c>
      <c r="O81" s="177"/>
      <c r="P81" s="177"/>
      <c r="Q81" s="177"/>
      <c r="R81" s="255" t="str">
        <f t="shared" si="50"/>
        <v/>
      </c>
      <c r="S81" s="120"/>
      <c r="T81" s="743"/>
      <c r="U81" s="743"/>
      <c r="V81" s="749" t="s">
        <v>165</v>
      </c>
      <c r="W81" s="749"/>
      <c r="X81" s="749"/>
      <c r="Y81" s="199">
        <f>SUM(Y72:Y80)</f>
        <v>0</v>
      </c>
      <c r="Z81" s="199">
        <f>SUM(Z72:Z80)</f>
        <v>0</v>
      </c>
      <c r="AA81" s="200">
        <f>SUM(AA72:AA80)</f>
        <v>0</v>
      </c>
      <c r="AB81" s="200">
        <f>SUM(AB72:AB80)</f>
        <v>0</v>
      </c>
      <c r="AC81" s="200">
        <f t="shared" si="51"/>
        <v>0</v>
      </c>
      <c r="AD81" s="200">
        <f>SUM(AD72:AD80)</f>
        <v>0</v>
      </c>
      <c r="AE81" s="200">
        <f>SUM(AE72:AE80)</f>
        <v>0</v>
      </c>
      <c r="AF81" s="200">
        <f>SUM(AF72:AF80)</f>
        <v>0</v>
      </c>
      <c r="AG81" s="201">
        <f t="shared" si="52"/>
        <v>0</v>
      </c>
      <c r="AH81" s="201" t="str">
        <f t="shared" si="53"/>
        <v/>
      </c>
      <c r="AI81" s="202"/>
      <c r="AJ81" s="120"/>
      <c r="AK81" s="743"/>
      <c r="AL81" s="743"/>
      <c r="AM81" s="749" t="s">
        <v>165</v>
      </c>
      <c r="AN81" s="749"/>
      <c r="AO81" s="749"/>
      <c r="AP81" s="199">
        <f>SUM(AP72:AP80)</f>
        <v>0</v>
      </c>
      <c r="AQ81" s="199">
        <f>SUM(AQ72:AQ80)</f>
        <v>0</v>
      </c>
      <c r="AR81" s="200">
        <f>SUM(AR72:AR80)</f>
        <v>0</v>
      </c>
      <c r="AS81" s="200">
        <f>SUM(AS72:AS80)</f>
        <v>0</v>
      </c>
      <c r="AT81" s="200">
        <f>(AR81+AS81)</f>
        <v>0</v>
      </c>
      <c r="AU81" s="200">
        <f>SUM(AU72:AU80)</f>
        <v>0</v>
      </c>
      <c r="AV81" s="200">
        <f>SUM(AV72:AV80)</f>
        <v>0</v>
      </c>
      <c r="AW81" s="200">
        <f>SUM(AW72:AW80)</f>
        <v>0</v>
      </c>
      <c r="AX81" s="201">
        <f>AR81+AS81-SUM(AU81:AW81)</f>
        <v>0</v>
      </c>
      <c r="AY81" s="201" t="str">
        <f t="shared" ref="AY81:AY102" si="58">IF(AP81=0,"",(AX81)/AP81)</f>
        <v/>
      </c>
      <c r="AZ81" s="202"/>
      <c r="BA81" s="120"/>
      <c r="BB81" s="772"/>
      <c r="BC81" s="773"/>
      <c r="BD81" s="772"/>
      <c r="BE81" s="782"/>
      <c r="BF81" s="773"/>
      <c r="BG81" s="814"/>
      <c r="BH81" s="814"/>
      <c r="BI81" s="814"/>
      <c r="BJ81" s="814"/>
      <c r="BK81" s="814"/>
      <c r="BL81" s="814"/>
      <c r="BM81" s="814"/>
      <c r="BN81" s="814"/>
      <c r="BO81" s="814"/>
      <c r="BP81" s="814"/>
      <c r="BQ81" s="171"/>
      <c r="BR81" s="170"/>
    </row>
    <row r="82" spans="1:74" ht="15" customHeight="1" x14ac:dyDescent="0.3">
      <c r="A82" s="106">
        <v>79</v>
      </c>
      <c r="B82" s="324">
        <f>'F0 - Données générales'!$C$4</f>
        <v>7</v>
      </c>
      <c r="C82" s="106" t="s">
        <v>95</v>
      </c>
      <c r="D82" s="106"/>
      <c r="E82" s="107"/>
      <c r="F82" s="108"/>
      <c r="G82" s="109"/>
      <c r="H82" s="110">
        <f t="shared" si="47"/>
        <v>0</v>
      </c>
      <c r="I82" s="177"/>
      <c r="J82" s="118" t="str">
        <f>IF(OR(D82="",F82=""),"",(((HLOOKUP(D82,'Carrières et points'!$A$20:$AD$60,F82+2,FALSE)*'Carrières et points'!$C$7*'Carrières et points'!$C$9)+(HLOOKUP(D82,'Carrières et points'!$A$20:$AD$60,F82+2,FALSE)*'Carrières et points'!$C$13*'Carrières et points'!$C$15))*(1+'F0 - Données générales'!$I$4)+((HLOOKUP(D82,'Carrières et points'!$A$20:$AD$60,F82+2,FALSE)*'Carrières et points'!$C$7*'Carrières et points'!$C$9)+(HLOOKUP(D82,'Carrières et points'!$A$20:$AD$60,F82+2,FALSE)*'Carrières et points'!$C$13*'Carrières et points'!$C$15))/12*(1+'F0 - Données générales'!$L$13))*E82)</f>
        <v/>
      </c>
      <c r="K82" s="118" t="str">
        <f t="shared" si="48"/>
        <v/>
      </c>
      <c r="L82" s="109"/>
      <c r="M82" s="177"/>
      <c r="N82" s="118" t="str">
        <f t="shared" si="49"/>
        <v/>
      </c>
      <c r="O82" s="177"/>
      <c r="P82" s="177"/>
      <c r="Q82" s="177"/>
      <c r="R82" s="255" t="str">
        <f t="shared" si="50"/>
        <v/>
      </c>
      <c r="S82" s="120"/>
      <c r="T82" s="742" t="s">
        <v>61</v>
      </c>
      <c r="U82" s="742"/>
      <c r="V82" s="26" t="s">
        <v>80</v>
      </c>
      <c r="W82" s="741" t="s">
        <v>81</v>
      </c>
      <c r="X82" s="741"/>
      <c r="Y82" s="181">
        <f>SUMIFS('F3 - Relevé du personnel'!$E$4:$E$281,'F3 - Relevé du personnel'!$D$4:$D$281,$V82,'F3 - Relevé du personnel'!$C$4:$C$281,'F0 - Données générales'!$K$31,'F3 - Relevé du personnel'!$B$4:$B$281,"8.2")</f>
        <v>0</v>
      </c>
      <c r="Z82" s="181">
        <f>SUMIFS('F3 - Relevé du personnel'!$H$4:$H$281,'F3 - Relevé du personnel'!$D$4:$D$281,$V82,'F3 - Relevé du personnel'!$C$4:$C$281,'F0 - Données générales'!$K$31,'F3 - Relevé du personnel'!$B$4:$B$281,"8.2")</f>
        <v>0</v>
      </c>
      <c r="AA82" s="256">
        <f>SUMIFS('F3 - Relevé du personnel'!$I$4:$I$281,'F3 - Relevé du personnel'!$D$4:$D$281,$V82,'F3 - Relevé du personnel'!$C$4:$C$281,'F0 - Données générales'!$K$31,'F3 - Relevé du personnel'!$B$4:$B$281,"8.2")</f>
        <v>0</v>
      </c>
      <c r="AB82" s="256">
        <f>SUMIFS('F3 - Relevé du personnel'!$M$4:$M$281,'F3 - Relevé du personnel'!$D$4:$D$281,$V82,'F3 - Relevé du personnel'!$C$4:$C$281,'F0 - Données générales'!$K$31,'F3 - Relevé du personnel'!$B$4:$B$281,"8.2")</f>
        <v>0</v>
      </c>
      <c r="AC82" s="196">
        <f t="shared" si="51"/>
        <v>0</v>
      </c>
      <c r="AD82" s="256">
        <f>SUMIFS('F3 - Relevé du personnel'!$O$4:$O$281,'F3 - Relevé du personnel'!$D$4:$D$281,$V82,'F3 - Relevé du personnel'!$C$4:$C$281,'F0 - Données générales'!$K$31,'F3 - Relevé du personnel'!$B$4:$B$281,"8.2")</f>
        <v>0</v>
      </c>
      <c r="AE82" s="256">
        <f>SUMIFS('F3 - Relevé du personnel'!$P$4:$P$281,'F3 - Relevé du personnel'!$D$4:$D$281,$V82,'F3 - Relevé du personnel'!$C$4:$C$281,'F0 - Données générales'!$K$31,'F3 - Relevé du personnel'!$B$4:$B$281,"8.2")</f>
        <v>0</v>
      </c>
      <c r="AF82" s="256">
        <f>SUMIFS('F3 - Relevé du personnel'!$Q$4:$Q$281,'F3 - Relevé du personnel'!$D$4:$D$281,$V82,'F3 - Relevé du personnel'!$C$4:$C$281,'F0 - Données générales'!$K$31,'F3 - Relevé du personnel'!$B$4:$B$281,"8.2")</f>
        <v>0</v>
      </c>
      <c r="AG82" s="182">
        <f t="shared" si="52"/>
        <v>0</v>
      </c>
      <c r="AH82" s="197" t="str">
        <f t="shared" si="53"/>
        <v/>
      </c>
      <c r="AI82" s="198" t="str">
        <f>IF(Y82=0,"",(SUMPRODUCT(($D$4:$D$253=V82)*($C$4:$C$253='F0 - Données générales'!$K$31)*($E$4:$E$253)*($F$4:$F$253)*($B$4:$B$253="8.2"))+SUMPRODUCT(($D$257:$D$281=V82)*($C$257:$C$281='F0 - Données générales'!$K$31)*($B$257:$B$281="8.2")*($E$257:$E$281)*($F$257:$F$281)))/(SUMIFS('F3 - Relevé du personnel'!$E$4:$E$281,'F3 - Relevé du personnel'!$D$4:$D$281,$V82,'F3 - Relevé du personnel'!$C$4:$C$281,'F0 - Données générales'!$K$31,'F3 - Relevé du personnel'!$B$4:$B$281,"8.2")))</f>
        <v/>
      </c>
      <c r="AJ82" s="120"/>
      <c r="AK82" s="742" t="s">
        <v>61</v>
      </c>
      <c r="AL82" s="742"/>
      <c r="AM82" s="26" t="s">
        <v>80</v>
      </c>
      <c r="AN82" s="741" t="s">
        <v>81</v>
      </c>
      <c r="AO82" s="741"/>
      <c r="AP82" s="181">
        <f>SUMIFS('F3 - Relevé du personnel'!$E$4:$E$281,'F3 - Relevé du personnel'!$D$4:$D$281,$AM82,'F3 - Relevé du personnel'!$C$4:$C$281,'F0 - Données générales'!$K$31,'F3 - Relevé du personnel'!$B$4:$B$281,"AUSC")</f>
        <v>0</v>
      </c>
      <c r="AQ82" s="181">
        <f>SUMIFS('F3 - Relevé du personnel'!$H$4:$H$281,'F3 - Relevé du personnel'!$D$4:$D$281,$AM82,'F3 - Relevé du personnel'!$C$4:$C$281,'F0 - Données générales'!$K$31,'F3 - Relevé du personnel'!$B$4:$B$281,"AUSC")</f>
        <v>0</v>
      </c>
      <c r="AR82" s="256">
        <f>SUMIFS('F3 - Relevé du personnel'!$I$4:$I$281,'F3 - Relevé du personnel'!$D$4:$D$281,$AM82,'F3 - Relevé du personnel'!$C$4:$C$281,'F0 - Données générales'!$K$31,'F3 - Relevé du personnel'!$B$4:$B$281,"AUSC")</f>
        <v>0</v>
      </c>
      <c r="AS82" s="256">
        <f>SUMIFS('F3 - Relevé du personnel'!$M$4:$M$281,'F3 - Relevé du personnel'!$D$4:$D$281,$AM82,'F3 - Relevé du personnel'!$C$4:$C$281,'F0 - Données générales'!$K$31,'F3 - Relevé du personnel'!$B$4:$B$281,"AUSC")</f>
        <v>0</v>
      </c>
      <c r="AT82" s="196">
        <f t="shared" ref="AT82:AT87" si="59">(AR82+AS82)</f>
        <v>0</v>
      </c>
      <c r="AU82" s="256">
        <f>SUMIFS('F3 - Relevé du personnel'!$O$4:$O$281,'F3 - Relevé du personnel'!$D$4:$D$281,$AM82,'F3 - Relevé du personnel'!$C$4:$C$281,'F0 - Données générales'!$K$31,'F3 - Relevé du personnel'!$B$4:$B$281,"AUSC")</f>
        <v>0</v>
      </c>
      <c r="AV82" s="256">
        <f>SUMIFS('F3 - Relevé du personnel'!$P$4:$P$281,'F3 - Relevé du personnel'!$D$4:$D$281,$AM82,'F3 - Relevé du personnel'!$C$4:$C$281,'F0 - Données générales'!$K$31,'F3 - Relevé du personnel'!$B$4:$B$281,"AUSC")</f>
        <v>0</v>
      </c>
      <c r="AW82" s="256">
        <f>SUMIFS('F3 - Relevé du personnel'!$Q$4:$Q$281,'F3 - Relevé du personnel'!$D$4:$D$281,$AM82,'F3 - Relevé du personnel'!$C$4:$C$281,'F0 - Données générales'!$K$31,'F3 - Relevé du personnel'!$B$4:$B$281,"AUSC")</f>
        <v>0</v>
      </c>
      <c r="AX82" s="182">
        <f t="shared" ref="AX82:AX87" si="60">AR82+AS82-SUM(AU82:AW82)</f>
        <v>0</v>
      </c>
      <c r="AY82" s="197" t="str">
        <f t="shared" si="58"/>
        <v/>
      </c>
      <c r="AZ82" s="198" t="str">
        <f>IF(AP82=0,"",(SUMPRODUCT(($D$4:$D$253=AM82)*($C$4:$C$253='F0 - Données générales'!$K$31)*($E$4:$E$253)*($F$4:$F$253)*($B$4:$B$253="AUSC"))+SUMPRODUCT(($D$257:$D$281=AM82)*($C$257:$C$281='F0 - Données générales'!$K$31)*($B$257:$B$281="AUSC")*($E$257:$E$281)*($F$257:$F$281)))/(SUMIFS('F3 - Relevé du personnel'!$E$4:$E$281,'F3 - Relevé du personnel'!$D$4:$D$281,$AM82,'F3 - Relevé du personnel'!$C$4:$C$281,'F0 - Données générales'!$K$31,'F3 - Relevé du personnel'!$B$4:$B$281,"AUSC")))</f>
        <v/>
      </c>
      <c r="BA82" s="120"/>
      <c r="BB82" s="760" t="s">
        <v>61</v>
      </c>
      <c r="BC82" s="761"/>
      <c r="BD82" s="13" t="s">
        <v>62</v>
      </c>
      <c r="BE82" s="766" t="s">
        <v>63</v>
      </c>
      <c r="BF82" s="767"/>
      <c r="BG82" s="45">
        <f>SUMIFS('F3 - Relevé du personnel'!$E$4:$E$281,'F3 - Relevé du personnel'!$D$4:$D$281,$BD82,'F3 - Relevé du personnel'!$C$4:$C$281,'F0 - Données générales'!$K$33)</f>
        <v>0</v>
      </c>
      <c r="BH82" s="259">
        <f>SUMIFS('F3 - Relevé du personnel'!$I$4:$I$281,'F3 - Relevé du personnel'!$D$4:$D$281,$BD82,'F3 - Relevé du personnel'!$C$4:$C$281,'F0 - Données générales'!$K$33)</f>
        <v>0</v>
      </c>
      <c r="BI82" s="259">
        <f>SUMIFS('F3 - Relevé du personnel'!$M$4:$M$281,'F3 - Relevé du personnel'!$D$4:$D$281,$BD82,'F3 - Relevé du personnel'!$C$4:$C$281,'F0 - Données générales'!$K$33)</f>
        <v>0</v>
      </c>
      <c r="BJ82" s="189">
        <f>(BH82+BI82)</f>
        <v>0</v>
      </c>
      <c r="BK82" s="259">
        <f>SUMIFS('F3 - Relevé du personnel'!$O$4:$O$281,'F3 - Relevé du personnel'!$D$4:$D$281,$BD82,'F3 - Relevé du personnel'!$C$4:$C$281,'F0 - Données générales'!$K$33)</f>
        <v>0</v>
      </c>
      <c r="BL82" s="259">
        <f>SUMIFS('F3 - Relevé du personnel'!$P$4:$P$281,'F3 - Relevé du personnel'!$D$4:$D$281,$BD82,'F3 - Relevé du personnel'!$C$4:$C$281,'F0 - Données générales'!$K$33)</f>
        <v>0</v>
      </c>
      <c r="BM82" s="259">
        <f>SUMIFS('F3 - Relevé du personnel'!$Q$4:$Q$281,'F3 - Relevé du personnel'!$D$4:$D$281,$BD82,'F3 - Relevé du personnel'!$C$4:$C$281,'F0 - Données générales'!$K$33)</f>
        <v>0</v>
      </c>
      <c r="BN82" s="48">
        <f>BH82+BI82-SUM(BK82:BM82)</f>
        <v>0</v>
      </c>
      <c r="BO82" s="187" t="str">
        <f>IF(BG82=0,"",(BN82)/BG82)</f>
        <v/>
      </c>
      <c r="BP82" s="188" t="str">
        <f>IF(BG82=0,"",(SUMPRODUCT(($D$4:$D$253=BD82)*($C$4:$C$253='F0 - Données générales'!$K$33)*($E$4:$E$253)*($F$4:$F$253))+SUMPRODUCT(($D$257:$D$281=BD82)*($C$257:$C$281='F0 - Données générales'!$K$33)*($E$257:$E$281)*($F$257:$F$281)))/(SUMIFS('F3 - Relevé du personnel'!$E$4:$E$281,'F3 - Relevé du personnel'!$D$4:$D$281,$BD82,'F3 - Relevé du personnel'!$C$4:$C$281,'F0 - Données générales'!$K$33)))</f>
        <v/>
      </c>
      <c r="BQ82" s="171"/>
      <c r="BR82" s="170"/>
    </row>
    <row r="83" spans="1:74" ht="15" customHeight="1" x14ac:dyDescent="0.3">
      <c r="A83" s="106">
        <v>80</v>
      </c>
      <c r="B83" s="324">
        <f>'F0 - Données générales'!$C$4</f>
        <v>7</v>
      </c>
      <c r="C83" s="106" t="s">
        <v>95</v>
      </c>
      <c r="D83" s="106"/>
      <c r="E83" s="107"/>
      <c r="F83" s="108"/>
      <c r="G83" s="109"/>
      <c r="H83" s="110">
        <f t="shared" si="47"/>
        <v>0</v>
      </c>
      <c r="I83" s="177"/>
      <c r="J83" s="118" t="str">
        <f>IF(OR(D83="",F83=""),"",(((HLOOKUP(D83,'Carrières et points'!$A$20:$AD$60,F83+2,FALSE)*'Carrières et points'!$C$7*'Carrières et points'!$C$9)+(HLOOKUP(D83,'Carrières et points'!$A$20:$AD$60,F83+2,FALSE)*'Carrières et points'!$C$13*'Carrières et points'!$C$15))*(1+'F0 - Données générales'!$I$4)+((HLOOKUP(D83,'Carrières et points'!$A$20:$AD$60,F83+2,FALSE)*'Carrières et points'!$C$7*'Carrières et points'!$C$9)+(HLOOKUP(D83,'Carrières et points'!$A$20:$AD$60,F83+2,FALSE)*'Carrières et points'!$C$13*'Carrières et points'!$C$15))/12*(1+'F0 - Données générales'!$L$13))*E83)</f>
        <v/>
      </c>
      <c r="K83" s="118" t="str">
        <f t="shared" si="48"/>
        <v/>
      </c>
      <c r="L83" s="109"/>
      <c r="M83" s="177"/>
      <c r="N83" s="118" t="str">
        <f t="shared" si="49"/>
        <v/>
      </c>
      <c r="O83" s="177"/>
      <c r="P83" s="177"/>
      <c r="Q83" s="177"/>
      <c r="R83" s="255" t="str">
        <f t="shared" si="50"/>
        <v/>
      </c>
      <c r="S83" s="120"/>
      <c r="T83" s="742" t="s">
        <v>64</v>
      </c>
      <c r="U83" s="742"/>
      <c r="V83" s="26" t="s">
        <v>82</v>
      </c>
      <c r="W83" s="741" t="s">
        <v>83</v>
      </c>
      <c r="X83" s="741"/>
      <c r="Y83" s="181">
        <f>SUMIFS('F3 - Relevé du personnel'!$E$4:$E$281,'F3 - Relevé du personnel'!$D$4:$D$281,$V83,'F3 - Relevé du personnel'!$C$4:$C$281,'F0 - Données générales'!$K$31,'F3 - Relevé du personnel'!$B$4:$B$281,"8.2")</f>
        <v>0</v>
      </c>
      <c r="Z83" s="181">
        <f>SUMIFS('F3 - Relevé du personnel'!$H$4:$H$281,'F3 - Relevé du personnel'!$D$4:$D$281,$V83,'F3 - Relevé du personnel'!$C$4:$C$281,'F0 - Données générales'!$K$31,'F3 - Relevé du personnel'!$B$4:$B$281,"8.2")</f>
        <v>0</v>
      </c>
      <c r="AA83" s="256">
        <f>SUMIFS('F3 - Relevé du personnel'!$I$4:$I$281,'F3 - Relevé du personnel'!$D$4:$D$281,$V83,'F3 - Relevé du personnel'!$C$4:$C$281,'F0 - Données générales'!$K$31,'F3 - Relevé du personnel'!$B$4:$B$281,"8.2")</f>
        <v>0</v>
      </c>
      <c r="AB83" s="256">
        <f>SUMIFS('F3 - Relevé du personnel'!$M$4:$M$281,'F3 - Relevé du personnel'!$D$4:$D$281,$V83,'F3 - Relevé du personnel'!$C$4:$C$281,'F0 - Données générales'!$K$31,'F3 - Relevé du personnel'!$B$4:$B$281,"8.2")</f>
        <v>0</v>
      </c>
      <c r="AC83" s="196">
        <f t="shared" si="51"/>
        <v>0</v>
      </c>
      <c r="AD83" s="256">
        <f>SUMIFS('F3 - Relevé du personnel'!$O$4:$O$281,'F3 - Relevé du personnel'!$D$4:$D$281,$V83,'F3 - Relevé du personnel'!$C$4:$C$281,'F0 - Données générales'!$K$31,'F3 - Relevé du personnel'!$B$4:$B$281,"8.2")</f>
        <v>0</v>
      </c>
      <c r="AE83" s="256">
        <f>SUMIFS('F3 - Relevé du personnel'!$P$4:$P$281,'F3 - Relevé du personnel'!$D$4:$D$281,$V83,'F3 - Relevé du personnel'!$C$4:$C$281,'F0 - Données générales'!$K$31,'F3 - Relevé du personnel'!$B$4:$B$281,"8.2")</f>
        <v>0</v>
      </c>
      <c r="AF83" s="256">
        <f>SUMIFS('F3 - Relevé du personnel'!$Q$4:$Q$281,'F3 - Relevé du personnel'!$D$4:$D$281,$V83,'F3 - Relevé du personnel'!$C$4:$C$281,'F0 - Données générales'!$K$31,'F3 - Relevé du personnel'!$B$4:$B$281,"8.2")</f>
        <v>0</v>
      </c>
      <c r="AG83" s="182">
        <f t="shared" si="52"/>
        <v>0</v>
      </c>
      <c r="AH83" s="197" t="str">
        <f t="shared" si="53"/>
        <v/>
      </c>
      <c r="AI83" s="198" t="str">
        <f>IF(Y83=0,"",(SUMPRODUCT(($D$4:$D$253=V83)*($C$4:$C$253='F0 - Données générales'!$K$31)*($E$4:$E$253)*($F$4:$F$253)*($B$4:$B$253="8.2"))+SUMPRODUCT(($D$257:$D$281=V83)*($C$257:$C$281='F0 - Données générales'!$K$31)*($B$257:$B$281="8.2")*($E$257:$E$281)*($F$257:$F$281)))/(SUMIFS('F3 - Relevé du personnel'!$E$4:$E$281,'F3 - Relevé du personnel'!$D$4:$D$281,$V83,'F3 - Relevé du personnel'!$C$4:$C$281,'F0 - Données générales'!$K$31,'F3 - Relevé du personnel'!$B$4:$B$281,"8.2")))</f>
        <v/>
      </c>
      <c r="AJ83" s="120"/>
      <c r="AK83" s="742" t="s">
        <v>64</v>
      </c>
      <c r="AL83" s="742"/>
      <c r="AM83" s="26" t="s">
        <v>82</v>
      </c>
      <c r="AN83" s="741" t="s">
        <v>83</v>
      </c>
      <c r="AO83" s="741"/>
      <c r="AP83" s="181">
        <f>SUMIFS('F3 - Relevé du personnel'!$E$4:$E$281,'F3 - Relevé du personnel'!$D$4:$D$281,$AM83,'F3 - Relevé du personnel'!$C$4:$C$281,'F0 - Données générales'!$K$31,'F3 - Relevé du personnel'!$B$4:$B$281,"AUSC")</f>
        <v>0</v>
      </c>
      <c r="AQ83" s="181">
        <f>SUMIFS('F3 - Relevé du personnel'!$H$4:$H$281,'F3 - Relevé du personnel'!$D$4:$D$281,$AM83,'F3 - Relevé du personnel'!$C$4:$C$281,'F0 - Données générales'!$K$31,'F3 - Relevé du personnel'!$B$4:$B$281,"AUSC")</f>
        <v>0</v>
      </c>
      <c r="AR83" s="256">
        <f>SUMIFS('F3 - Relevé du personnel'!$I$4:$I$281,'F3 - Relevé du personnel'!$D$4:$D$281,$AM83,'F3 - Relevé du personnel'!$C$4:$C$281,'F0 - Données générales'!$K$31,'F3 - Relevé du personnel'!$B$4:$B$281,"AUSC")</f>
        <v>0</v>
      </c>
      <c r="AS83" s="256">
        <f>SUMIFS('F3 - Relevé du personnel'!$M$4:$M$281,'F3 - Relevé du personnel'!$D$4:$D$281,$AM83,'F3 - Relevé du personnel'!$C$4:$C$281,'F0 - Données générales'!$K$31,'F3 - Relevé du personnel'!$B$4:$B$281,"AUSC")</f>
        <v>0</v>
      </c>
      <c r="AT83" s="196">
        <f t="shared" si="59"/>
        <v>0</v>
      </c>
      <c r="AU83" s="256">
        <f>SUMIFS('F3 - Relevé du personnel'!$O$4:$O$281,'F3 - Relevé du personnel'!$D$4:$D$281,$AM83,'F3 - Relevé du personnel'!$C$4:$C$281,'F0 - Données générales'!$K$31,'F3 - Relevé du personnel'!$B$4:$B$281,"AUSC")</f>
        <v>0</v>
      </c>
      <c r="AV83" s="256">
        <f>SUMIFS('F3 - Relevé du personnel'!$P$4:$P$281,'F3 - Relevé du personnel'!$D$4:$D$281,$AM83,'F3 - Relevé du personnel'!$C$4:$C$281,'F0 - Données générales'!$K$31,'F3 - Relevé du personnel'!$B$4:$B$281,"AUSC")</f>
        <v>0</v>
      </c>
      <c r="AW83" s="256">
        <f>SUMIFS('F3 - Relevé du personnel'!$Q$4:$Q$281,'F3 - Relevé du personnel'!$D$4:$D$281,$AM83,'F3 - Relevé du personnel'!$C$4:$C$281,'F0 - Données générales'!$K$31,'F3 - Relevé du personnel'!$B$4:$B$281,"AUSC")</f>
        <v>0</v>
      </c>
      <c r="AX83" s="182">
        <f t="shared" si="60"/>
        <v>0</v>
      </c>
      <c r="AY83" s="197" t="str">
        <f t="shared" si="58"/>
        <v/>
      </c>
      <c r="AZ83" s="198" t="str">
        <f>IF(AP83=0,"",(SUMPRODUCT(($D$4:$D$253=AM83)*($C$4:$C$253='F0 - Données générales'!$K$31)*($E$4:$E$253)*($F$4:$F$253)*($B$4:$B$253="AUSC"))+SUMPRODUCT(($D$257:$D$281=AM83)*($C$257:$C$281='F0 - Données générales'!$K$31)*($B$257:$B$281="AUSC")*($E$257:$E$281)*($F$257:$F$281)))/(SUMIFS('F3 - Relevé du personnel'!$E$4:$E$281,'F3 - Relevé du personnel'!$D$4:$D$281,$AM83,'F3 - Relevé du personnel'!$C$4:$C$281,'F0 - Données générales'!$K$31,'F3 - Relevé du personnel'!$B$4:$B$281,"AUSC")))</f>
        <v/>
      </c>
      <c r="BA83" s="120"/>
      <c r="BB83" s="760" t="s">
        <v>65</v>
      </c>
      <c r="BC83" s="761"/>
      <c r="BD83" s="13" t="s">
        <v>66</v>
      </c>
      <c r="BE83" s="758" t="s">
        <v>67</v>
      </c>
      <c r="BF83" s="759"/>
      <c r="BG83" s="45">
        <f>SUMIFS('F3 - Relevé du personnel'!$E$4:$E$281,'F3 - Relevé du personnel'!$D$4:$D$281,$BD83,'F3 - Relevé du personnel'!$C$4:$C$281,'F0 - Données générales'!$K$33)</f>
        <v>0</v>
      </c>
      <c r="BH83" s="259">
        <f>SUMIFS('F3 - Relevé du personnel'!$I$4:$I$281,'F3 - Relevé du personnel'!$D$4:$D$281,$BD83,'F3 - Relevé du personnel'!$C$4:$C$281,'F0 - Données générales'!$K$33)</f>
        <v>0</v>
      </c>
      <c r="BI83" s="259">
        <f>SUMIFS('F3 - Relevé du personnel'!$M$4:$M$281,'F3 - Relevé du personnel'!$D$4:$D$281,$BD83,'F3 - Relevé du personnel'!$C$4:$C$281,'F0 - Données générales'!$K$33)</f>
        <v>0</v>
      </c>
      <c r="BJ83" s="189">
        <f t="shared" ref="BJ83:BJ90" si="61">(BH83+BI83)</f>
        <v>0</v>
      </c>
      <c r="BK83" s="259">
        <f>SUMIFS('F3 - Relevé du personnel'!$O$4:$O$281,'F3 - Relevé du personnel'!$D$4:$D$281,$BD83,'F3 - Relevé du personnel'!$C$4:$C$281,'F0 - Données générales'!$K$33)</f>
        <v>0</v>
      </c>
      <c r="BL83" s="259">
        <f>SUMIFS('F3 - Relevé du personnel'!$P$4:$P$281,'F3 - Relevé du personnel'!$D$4:$D$281,$BD83,'F3 - Relevé du personnel'!$C$4:$C$281,'F0 - Données générales'!$K$33)</f>
        <v>0</v>
      </c>
      <c r="BM83" s="259">
        <f>SUMIFS('F3 - Relevé du personnel'!$Q$4:$Q$281,'F3 - Relevé du personnel'!$D$4:$D$281,$BD83,'F3 - Relevé du personnel'!$C$4:$C$281,'F0 - Données générales'!$K$33)</f>
        <v>0</v>
      </c>
      <c r="BN83" s="48">
        <f t="shared" ref="BN83:BN90" si="62">BH83+BI83-SUM(BK83:BM83)</f>
        <v>0</v>
      </c>
      <c r="BO83" s="187" t="str">
        <f t="shared" ref="BO83:BO90" si="63">IF(BG83=0,"",(BN83)/BG83)</f>
        <v/>
      </c>
      <c r="BP83" s="188" t="str">
        <f>IF(BG83=0,"",(SUMPRODUCT(($D$4:$D$253=BD83)*($C$4:$C$253='F0 - Données générales'!$K$33)*($E$4:$E$253)*($F$4:$F$253))+SUMPRODUCT(($D$257:$D$281=BD83)*($C$257:$C$281='F0 - Données générales'!$K$33)*($E$257:$E$281)*($F$257:$F$281)))/(SUMIFS('F3 - Relevé du personnel'!$E$4:$E$281,'F3 - Relevé du personnel'!$D$4:$D$281,$BD83,'F3 - Relevé du personnel'!$C$4:$C$281,'F0 - Données générales'!$K$33)))</f>
        <v/>
      </c>
      <c r="BQ83" s="171"/>
      <c r="BR83" s="170"/>
    </row>
    <row r="84" spans="1:74" ht="15" customHeight="1" x14ac:dyDescent="0.3">
      <c r="A84" s="106">
        <v>81</v>
      </c>
      <c r="B84" s="324">
        <f>'F0 - Données générales'!$C$4</f>
        <v>7</v>
      </c>
      <c r="C84" s="106" t="s">
        <v>95</v>
      </c>
      <c r="D84" s="106"/>
      <c r="E84" s="107"/>
      <c r="F84" s="108"/>
      <c r="G84" s="109"/>
      <c r="H84" s="110">
        <f t="shared" si="47"/>
        <v>0</v>
      </c>
      <c r="I84" s="177"/>
      <c r="J84" s="118" t="str">
        <f>IF(OR(D84="",F84=""),"",(((HLOOKUP(D84,'Carrières et points'!$A$20:$AD$60,F84+2,FALSE)*'Carrières et points'!$C$7*'Carrières et points'!$C$9)+(HLOOKUP(D84,'Carrières et points'!$A$20:$AD$60,F84+2,FALSE)*'Carrières et points'!$C$13*'Carrières et points'!$C$15))*(1+'F0 - Données générales'!$I$4)+((HLOOKUP(D84,'Carrières et points'!$A$20:$AD$60,F84+2,FALSE)*'Carrières et points'!$C$7*'Carrières et points'!$C$9)+(HLOOKUP(D84,'Carrières et points'!$A$20:$AD$60,F84+2,FALSE)*'Carrières et points'!$C$13*'Carrières et points'!$C$15))/12*(1+'F0 - Données générales'!$L$13))*E84)</f>
        <v/>
      </c>
      <c r="K84" s="118" t="str">
        <f t="shared" si="48"/>
        <v/>
      </c>
      <c r="L84" s="109"/>
      <c r="M84" s="177"/>
      <c r="N84" s="118" t="str">
        <f t="shared" si="49"/>
        <v/>
      </c>
      <c r="O84" s="177"/>
      <c r="P84" s="177"/>
      <c r="Q84" s="177"/>
      <c r="R84" s="255" t="str">
        <f t="shared" si="50"/>
        <v/>
      </c>
      <c r="S84" s="120"/>
      <c r="T84" s="742" t="s">
        <v>65</v>
      </c>
      <c r="U84" s="742"/>
      <c r="V84" s="26" t="s">
        <v>84</v>
      </c>
      <c r="W84" s="741" t="s">
        <v>85</v>
      </c>
      <c r="X84" s="741"/>
      <c r="Y84" s="181">
        <f>SUMIFS('F3 - Relevé du personnel'!$E$4:$E$281,'F3 - Relevé du personnel'!$D$4:$D$281,$V84,'F3 - Relevé du personnel'!$C$4:$C$281,'F0 - Données générales'!$K$31,'F3 - Relevé du personnel'!$B$4:$B$281,"8.2")</f>
        <v>0</v>
      </c>
      <c r="Z84" s="181">
        <f>SUMIFS('F3 - Relevé du personnel'!$H$4:$H$281,'F3 - Relevé du personnel'!$D$4:$D$281,$V84,'F3 - Relevé du personnel'!$C$4:$C$281,'F0 - Données générales'!$K$31,'F3 - Relevé du personnel'!$B$4:$B$281,"8.2")</f>
        <v>0</v>
      </c>
      <c r="AA84" s="256">
        <f>SUMIFS('F3 - Relevé du personnel'!$I$4:$I$281,'F3 - Relevé du personnel'!$D$4:$D$281,$V84,'F3 - Relevé du personnel'!$C$4:$C$281,'F0 - Données générales'!$K$31,'F3 - Relevé du personnel'!$B$4:$B$281,"8.2")</f>
        <v>0</v>
      </c>
      <c r="AB84" s="256">
        <f>SUMIFS('F3 - Relevé du personnel'!$M$4:$M$281,'F3 - Relevé du personnel'!$D$4:$D$281,$V84,'F3 - Relevé du personnel'!$C$4:$C$281,'F0 - Données générales'!$K$31,'F3 - Relevé du personnel'!$B$4:$B$281,"8.2")</f>
        <v>0</v>
      </c>
      <c r="AC84" s="196">
        <f t="shared" si="51"/>
        <v>0</v>
      </c>
      <c r="AD84" s="256">
        <f>SUMIFS('F3 - Relevé du personnel'!$O$4:$O$281,'F3 - Relevé du personnel'!$D$4:$D$281,$V84,'F3 - Relevé du personnel'!$C$4:$C$281,'F0 - Données générales'!$K$31,'F3 - Relevé du personnel'!$B$4:$B$281,"8.2")</f>
        <v>0</v>
      </c>
      <c r="AE84" s="256">
        <f>SUMIFS('F3 - Relevé du personnel'!$P$4:$P$281,'F3 - Relevé du personnel'!$D$4:$D$281,$V84,'F3 - Relevé du personnel'!$C$4:$C$281,'F0 - Données générales'!$K$31,'F3 - Relevé du personnel'!$B$4:$B$281,"8.2")</f>
        <v>0</v>
      </c>
      <c r="AF84" s="256">
        <f>SUMIFS('F3 - Relevé du personnel'!$Q$4:$Q$281,'F3 - Relevé du personnel'!$D$4:$D$281,$V84,'F3 - Relevé du personnel'!$C$4:$C$281,'F0 - Données générales'!$K$31,'F3 - Relevé du personnel'!$B$4:$B$281,"8.2")</f>
        <v>0</v>
      </c>
      <c r="AG84" s="182">
        <f t="shared" si="52"/>
        <v>0</v>
      </c>
      <c r="AH84" s="197" t="str">
        <f t="shared" si="53"/>
        <v/>
      </c>
      <c r="AI84" s="198" t="str">
        <f>IF(Y84=0,"",(SUMPRODUCT(($D$4:$D$253=V84)*($C$4:$C$253='F0 - Données générales'!$K$31)*($E$4:$E$253)*($F$4:$F$253)*($B$4:$B$253="8.2"))+SUMPRODUCT(($D$257:$D$281=V84)*($C$257:$C$281='F0 - Données générales'!$K$31)*($B$257:$B$281="8.2")*($E$257:$E$281)*($F$257:$F$281)))/(SUMIFS('F3 - Relevé du personnel'!$E$4:$E$281,'F3 - Relevé du personnel'!$D$4:$D$281,$V84,'F3 - Relevé du personnel'!$C$4:$C$281,'F0 - Données générales'!$K$31,'F3 - Relevé du personnel'!$B$4:$B$281,"8.2")))</f>
        <v/>
      </c>
      <c r="AJ84" s="120"/>
      <c r="AK84" s="742" t="s">
        <v>65</v>
      </c>
      <c r="AL84" s="742"/>
      <c r="AM84" s="26" t="s">
        <v>84</v>
      </c>
      <c r="AN84" s="741" t="s">
        <v>85</v>
      </c>
      <c r="AO84" s="741"/>
      <c r="AP84" s="181">
        <f>SUMIFS('F3 - Relevé du personnel'!$E$4:$E$281,'F3 - Relevé du personnel'!$D$4:$D$281,$AM84,'F3 - Relevé du personnel'!$C$4:$C$281,'F0 - Données générales'!$K$31,'F3 - Relevé du personnel'!$B$4:$B$281,"AUSC")</f>
        <v>0</v>
      </c>
      <c r="AQ84" s="181">
        <f>SUMIFS('F3 - Relevé du personnel'!$H$4:$H$281,'F3 - Relevé du personnel'!$D$4:$D$281,$AM84,'F3 - Relevé du personnel'!$C$4:$C$281,'F0 - Données générales'!$K$31,'F3 - Relevé du personnel'!$B$4:$B$281,"AUSC")</f>
        <v>0</v>
      </c>
      <c r="AR84" s="256">
        <f>SUMIFS('F3 - Relevé du personnel'!$I$4:$I$281,'F3 - Relevé du personnel'!$D$4:$D$281,$AM84,'F3 - Relevé du personnel'!$C$4:$C$281,'F0 - Données générales'!$K$31,'F3 - Relevé du personnel'!$B$4:$B$281,"AUSC")</f>
        <v>0</v>
      </c>
      <c r="AS84" s="256">
        <f>SUMIFS('F3 - Relevé du personnel'!$M$4:$M$281,'F3 - Relevé du personnel'!$D$4:$D$281,$AM84,'F3 - Relevé du personnel'!$C$4:$C$281,'F0 - Données générales'!$K$31,'F3 - Relevé du personnel'!$B$4:$B$281,"AUSC")</f>
        <v>0</v>
      </c>
      <c r="AT84" s="196">
        <f t="shared" si="59"/>
        <v>0</v>
      </c>
      <c r="AU84" s="256">
        <f>SUMIFS('F3 - Relevé du personnel'!$O$4:$O$281,'F3 - Relevé du personnel'!$D$4:$D$281,$AM84,'F3 - Relevé du personnel'!$C$4:$C$281,'F0 - Données générales'!$K$31,'F3 - Relevé du personnel'!$B$4:$B$281,"AUSC")</f>
        <v>0</v>
      </c>
      <c r="AV84" s="256">
        <f>SUMIFS('F3 - Relevé du personnel'!$P$4:$P$281,'F3 - Relevé du personnel'!$D$4:$D$281,$AM84,'F3 - Relevé du personnel'!$C$4:$C$281,'F0 - Données générales'!$K$31,'F3 - Relevé du personnel'!$B$4:$B$281,"AUSC")</f>
        <v>0</v>
      </c>
      <c r="AW84" s="256">
        <f>SUMIFS('F3 - Relevé du personnel'!$Q$4:$Q$281,'F3 - Relevé du personnel'!$D$4:$D$281,$AM84,'F3 - Relevé du personnel'!$C$4:$C$281,'F0 - Données générales'!$K$31,'F3 - Relevé du personnel'!$B$4:$B$281,"AUSC")</f>
        <v>0</v>
      </c>
      <c r="AX84" s="182">
        <f t="shared" si="60"/>
        <v>0</v>
      </c>
      <c r="AY84" s="197" t="str">
        <f t="shared" si="58"/>
        <v/>
      </c>
      <c r="AZ84" s="198" t="str">
        <f>IF(AP84=0,"",(SUMPRODUCT(($D$4:$D$253=AM84)*($C$4:$C$253='F0 - Données générales'!$K$31)*($E$4:$E$253)*($F$4:$F$253)*($B$4:$B$253="AUSC"))+SUMPRODUCT(($D$257:$D$281=AM84)*($C$257:$C$281='F0 - Données générales'!$K$31)*($B$257:$B$281="AUSC")*($E$257:$E$281)*($F$257:$F$281)))/(SUMIFS('F3 - Relevé du personnel'!$E$4:$E$281,'F3 - Relevé du personnel'!$D$4:$D$281,$AM84,'F3 - Relevé du personnel'!$C$4:$C$281,'F0 - Données générales'!$K$31,'F3 - Relevé du personnel'!$B$4:$B$281,"AUSC")))</f>
        <v/>
      </c>
      <c r="BA84" s="120"/>
      <c r="BB84" s="760" t="s">
        <v>61</v>
      </c>
      <c r="BC84" s="761"/>
      <c r="BD84" s="13" t="s">
        <v>68</v>
      </c>
      <c r="BE84" s="758" t="s">
        <v>69</v>
      </c>
      <c r="BF84" s="759"/>
      <c r="BG84" s="45">
        <f>SUMIFS('F3 - Relevé du personnel'!$E$4:$E$281,'F3 - Relevé du personnel'!$D$4:$D$281,$BD84,'F3 - Relevé du personnel'!$C$4:$C$281,'F0 - Données générales'!$K$33)</f>
        <v>0</v>
      </c>
      <c r="BH84" s="259">
        <f>SUMIFS('F3 - Relevé du personnel'!$I$4:$I$281,'F3 - Relevé du personnel'!$D$4:$D$281,$BD84,'F3 - Relevé du personnel'!$C$4:$C$281,'F0 - Données générales'!$K$33)</f>
        <v>0</v>
      </c>
      <c r="BI84" s="259">
        <f>SUMIFS('F3 - Relevé du personnel'!$M$4:$M$281,'F3 - Relevé du personnel'!$D$4:$D$281,$BD84,'F3 - Relevé du personnel'!$C$4:$C$281,'F0 - Données générales'!$K$33)</f>
        <v>0</v>
      </c>
      <c r="BJ84" s="189">
        <f t="shared" si="61"/>
        <v>0</v>
      </c>
      <c r="BK84" s="259">
        <f>SUMIFS('F3 - Relevé du personnel'!$O$4:$O$281,'F3 - Relevé du personnel'!$D$4:$D$281,$BD84,'F3 - Relevé du personnel'!$C$4:$C$281,'F0 - Données générales'!$K$33)</f>
        <v>0</v>
      </c>
      <c r="BL84" s="259">
        <f>SUMIFS('F3 - Relevé du personnel'!$P$4:$P$281,'F3 - Relevé du personnel'!$D$4:$D$281,$BD84,'F3 - Relevé du personnel'!$C$4:$C$281,'F0 - Données générales'!$K$33)</f>
        <v>0</v>
      </c>
      <c r="BM84" s="259">
        <f>SUMIFS('F3 - Relevé du personnel'!$Q$4:$Q$281,'F3 - Relevé du personnel'!$D$4:$D$281,$BD84,'F3 - Relevé du personnel'!$C$4:$C$281,'F0 - Données générales'!$K$33)</f>
        <v>0</v>
      </c>
      <c r="BN84" s="48">
        <f t="shared" si="62"/>
        <v>0</v>
      </c>
      <c r="BO84" s="187" t="str">
        <f t="shared" si="63"/>
        <v/>
      </c>
      <c r="BP84" s="188" t="str">
        <f>IF(BG84=0,"",(SUMPRODUCT(($D$4:$D$253=BD84)*($C$4:$C$253='F0 - Données générales'!$K$33)*($E$4:$E$253)*($F$4:$F$253))+SUMPRODUCT(($D$257:$D$281=BD84)*($C$257:$C$281='F0 - Données générales'!$K$33)*($E$257:$E$281)*($F$257:$F$281)))/(SUMIFS('F3 - Relevé du personnel'!$E$4:$E$281,'F3 - Relevé du personnel'!$D$4:$D$281,$BD84,'F3 - Relevé du personnel'!$C$4:$C$281,'F0 - Données générales'!$K$33)))</f>
        <v/>
      </c>
      <c r="BQ84" s="171"/>
      <c r="BR84" s="170"/>
    </row>
    <row r="85" spans="1:74" ht="15" customHeight="1" x14ac:dyDescent="0.3">
      <c r="A85" s="106">
        <v>82</v>
      </c>
      <c r="B85" s="324">
        <f>'F0 - Données générales'!$C$4</f>
        <v>7</v>
      </c>
      <c r="C85" s="106" t="s">
        <v>95</v>
      </c>
      <c r="D85" s="106"/>
      <c r="E85" s="107"/>
      <c r="F85" s="108"/>
      <c r="G85" s="109"/>
      <c r="H85" s="110">
        <f t="shared" si="47"/>
        <v>0</v>
      </c>
      <c r="I85" s="177"/>
      <c r="J85" s="118" t="str">
        <f>IF(OR(D85="",F85=""),"",(((HLOOKUP(D85,'Carrières et points'!$A$20:$AD$60,F85+2,FALSE)*'Carrières et points'!$C$7*'Carrières et points'!$C$9)+(HLOOKUP(D85,'Carrières et points'!$A$20:$AD$60,F85+2,FALSE)*'Carrières et points'!$C$13*'Carrières et points'!$C$15))*(1+'F0 - Données générales'!$I$4)+((HLOOKUP(D85,'Carrières et points'!$A$20:$AD$60,F85+2,FALSE)*'Carrières et points'!$C$7*'Carrières et points'!$C$9)+(HLOOKUP(D85,'Carrières et points'!$A$20:$AD$60,F85+2,FALSE)*'Carrières et points'!$C$13*'Carrières et points'!$C$15))/12*(1+'F0 - Données générales'!$L$13))*E85)</f>
        <v/>
      </c>
      <c r="K85" s="118" t="str">
        <f t="shared" si="48"/>
        <v/>
      </c>
      <c r="L85" s="109"/>
      <c r="M85" s="177"/>
      <c r="N85" s="118" t="str">
        <f t="shared" si="49"/>
        <v/>
      </c>
      <c r="O85" s="177"/>
      <c r="P85" s="177"/>
      <c r="Q85" s="177"/>
      <c r="R85" s="255" t="str">
        <f t="shared" si="50"/>
        <v/>
      </c>
      <c r="S85" s="120"/>
      <c r="T85" s="742" t="s">
        <v>79</v>
      </c>
      <c r="U85" s="742"/>
      <c r="V85" s="26" t="s">
        <v>86</v>
      </c>
      <c r="W85" s="741" t="s">
        <v>87</v>
      </c>
      <c r="X85" s="741"/>
      <c r="Y85" s="181">
        <f>SUMIFS('F3 - Relevé du personnel'!$E$4:$E$281,'F3 - Relevé du personnel'!$D$4:$D$281,$V85,'F3 - Relevé du personnel'!$C$4:$C$281,'F0 - Données générales'!$K$31,'F3 - Relevé du personnel'!$B$4:$B$281,"8.2")</f>
        <v>0</v>
      </c>
      <c r="Z85" s="181">
        <f>SUMIFS('F3 - Relevé du personnel'!$H$4:$H$281,'F3 - Relevé du personnel'!$D$4:$D$281,$V85,'F3 - Relevé du personnel'!$C$4:$C$281,'F0 - Données générales'!$K$31,'F3 - Relevé du personnel'!$B$4:$B$281,"8.2")</f>
        <v>0</v>
      </c>
      <c r="AA85" s="256">
        <f>SUMIFS('F3 - Relevé du personnel'!$I$4:$I$281,'F3 - Relevé du personnel'!$D$4:$D$281,$V85,'F3 - Relevé du personnel'!$C$4:$C$281,'F0 - Données générales'!$K$31,'F3 - Relevé du personnel'!$B$4:$B$281,"8.2")</f>
        <v>0</v>
      </c>
      <c r="AB85" s="256">
        <f>SUMIFS('F3 - Relevé du personnel'!$M$4:$M$281,'F3 - Relevé du personnel'!$D$4:$D$281,$V85,'F3 - Relevé du personnel'!$C$4:$C$281,'F0 - Données générales'!$K$31,'F3 - Relevé du personnel'!$B$4:$B$281,"8.2")</f>
        <v>0</v>
      </c>
      <c r="AC85" s="196">
        <f t="shared" si="51"/>
        <v>0</v>
      </c>
      <c r="AD85" s="256">
        <f>SUMIFS('F3 - Relevé du personnel'!$O$4:$O$281,'F3 - Relevé du personnel'!$D$4:$D$281,$V85,'F3 - Relevé du personnel'!$C$4:$C$281,'F0 - Données générales'!$K$31,'F3 - Relevé du personnel'!$B$4:$B$281,"8.2")</f>
        <v>0</v>
      </c>
      <c r="AE85" s="256">
        <f>SUMIFS('F3 - Relevé du personnel'!$P$4:$P$281,'F3 - Relevé du personnel'!$D$4:$D$281,$V85,'F3 - Relevé du personnel'!$C$4:$C$281,'F0 - Données générales'!$K$31,'F3 - Relevé du personnel'!$B$4:$B$281,"8.2")</f>
        <v>0</v>
      </c>
      <c r="AF85" s="256">
        <f>SUMIFS('F3 - Relevé du personnel'!$Q$4:$Q$281,'F3 - Relevé du personnel'!$D$4:$D$281,$V85,'F3 - Relevé du personnel'!$C$4:$C$281,'F0 - Données générales'!$K$31,'F3 - Relevé du personnel'!$B$4:$B$281,"8.2")</f>
        <v>0</v>
      </c>
      <c r="AG85" s="182">
        <f t="shared" si="52"/>
        <v>0</v>
      </c>
      <c r="AH85" s="197" t="str">
        <f t="shared" si="53"/>
        <v/>
      </c>
      <c r="AI85" s="198" t="str">
        <f>IF(Y85=0,"",(SUMPRODUCT(($D$4:$D$253=V85)*($C$4:$C$253='F0 - Données générales'!$K$31)*($E$4:$E$253)*($F$4:$F$253)*($B$4:$B$253="8.2"))+SUMPRODUCT(($D$257:$D$281=V85)*($C$257:$C$281='F0 - Données générales'!$K$31)*($B$257:$B$281="8.2")*($E$257:$E$281)*($F$257:$F$281)))/(SUMIFS('F3 - Relevé du personnel'!$E$4:$E$281,'F3 - Relevé du personnel'!$D$4:$D$281,$V85,'F3 - Relevé du personnel'!$C$4:$C$281,'F0 - Données générales'!$K$31,'F3 - Relevé du personnel'!$B$4:$B$281,"8.2")))</f>
        <v/>
      </c>
      <c r="AJ85" s="120"/>
      <c r="AK85" s="742" t="s">
        <v>79</v>
      </c>
      <c r="AL85" s="742"/>
      <c r="AM85" s="26" t="s">
        <v>86</v>
      </c>
      <c r="AN85" s="741" t="s">
        <v>87</v>
      </c>
      <c r="AO85" s="741"/>
      <c r="AP85" s="181">
        <f>SUMIFS('F3 - Relevé du personnel'!$E$4:$E$281,'F3 - Relevé du personnel'!$D$4:$D$281,$AM85,'F3 - Relevé du personnel'!$C$4:$C$281,'F0 - Données générales'!$K$31,'F3 - Relevé du personnel'!$B$4:$B$281,"AUSC")</f>
        <v>0</v>
      </c>
      <c r="AQ85" s="181">
        <f>SUMIFS('F3 - Relevé du personnel'!$H$4:$H$281,'F3 - Relevé du personnel'!$D$4:$D$281,$AM85,'F3 - Relevé du personnel'!$C$4:$C$281,'F0 - Données générales'!$K$31,'F3 - Relevé du personnel'!$B$4:$B$281,"AUSC")</f>
        <v>0</v>
      </c>
      <c r="AR85" s="256">
        <f>SUMIFS('F3 - Relevé du personnel'!$I$4:$I$281,'F3 - Relevé du personnel'!$D$4:$D$281,$AM85,'F3 - Relevé du personnel'!$C$4:$C$281,'F0 - Données générales'!$K$31,'F3 - Relevé du personnel'!$B$4:$B$281,"AUSC")</f>
        <v>0</v>
      </c>
      <c r="AS85" s="256">
        <f>SUMIFS('F3 - Relevé du personnel'!$M$4:$M$281,'F3 - Relevé du personnel'!$D$4:$D$281,$AM85,'F3 - Relevé du personnel'!$C$4:$C$281,'F0 - Données générales'!$K$31,'F3 - Relevé du personnel'!$B$4:$B$281,"AUSC")</f>
        <v>0</v>
      </c>
      <c r="AT85" s="196">
        <f t="shared" si="59"/>
        <v>0</v>
      </c>
      <c r="AU85" s="256">
        <f>SUMIFS('F3 - Relevé du personnel'!$O$4:$O$281,'F3 - Relevé du personnel'!$D$4:$D$281,$AM85,'F3 - Relevé du personnel'!$C$4:$C$281,'F0 - Données générales'!$K$31,'F3 - Relevé du personnel'!$B$4:$B$281,"AUSC")</f>
        <v>0</v>
      </c>
      <c r="AV85" s="256">
        <f>SUMIFS('F3 - Relevé du personnel'!$P$4:$P$281,'F3 - Relevé du personnel'!$D$4:$D$281,$AM85,'F3 - Relevé du personnel'!$C$4:$C$281,'F0 - Données générales'!$K$31,'F3 - Relevé du personnel'!$B$4:$B$281,"AUSC")</f>
        <v>0</v>
      </c>
      <c r="AW85" s="256">
        <f>SUMIFS('F3 - Relevé du personnel'!$Q$4:$Q$281,'F3 - Relevé du personnel'!$D$4:$D$281,$AM85,'F3 - Relevé du personnel'!$C$4:$C$281,'F0 - Données générales'!$K$31,'F3 - Relevé du personnel'!$B$4:$B$281,"AUSC")</f>
        <v>0</v>
      </c>
      <c r="AX85" s="182">
        <f t="shared" si="60"/>
        <v>0</v>
      </c>
      <c r="AY85" s="197" t="str">
        <f t="shared" si="58"/>
        <v/>
      </c>
      <c r="AZ85" s="198" t="str">
        <f>IF(AP85=0,"",(SUMPRODUCT(($D$4:$D$253=AM85)*($C$4:$C$253='F0 - Données générales'!$K$31)*($E$4:$E$253)*($F$4:$F$253)*($B$4:$B$253="AUSC"))+SUMPRODUCT(($D$257:$D$281=AM85)*($C$257:$C$281='F0 - Données générales'!$K$31)*($B$257:$B$281="AUSC")*($E$257:$E$281)*($F$257:$F$281)))/(SUMIFS('F3 - Relevé du personnel'!$E$4:$E$281,'F3 - Relevé du personnel'!$D$4:$D$281,$AM85,'F3 - Relevé du personnel'!$C$4:$C$281,'F0 - Données générales'!$K$31,'F3 - Relevé du personnel'!$B$4:$B$281,"AUSC")))</f>
        <v/>
      </c>
      <c r="BA85" s="120"/>
      <c r="BB85" s="760" t="s">
        <v>64</v>
      </c>
      <c r="BC85" s="761"/>
      <c r="BD85" s="13" t="s">
        <v>70</v>
      </c>
      <c r="BE85" s="758" t="s">
        <v>71</v>
      </c>
      <c r="BF85" s="759"/>
      <c r="BG85" s="45">
        <f>SUMIFS('F3 - Relevé du personnel'!$E$4:$E$281,'F3 - Relevé du personnel'!$D$4:$D$281,$BD85,'F3 - Relevé du personnel'!$C$4:$C$281,'F0 - Données générales'!$K$33)</f>
        <v>0</v>
      </c>
      <c r="BH85" s="259">
        <f>SUMIFS('F3 - Relevé du personnel'!$I$4:$I$281,'F3 - Relevé du personnel'!$D$4:$D$281,$BD85,'F3 - Relevé du personnel'!$C$4:$C$281,'F0 - Données générales'!$K$33)</f>
        <v>0</v>
      </c>
      <c r="BI85" s="259">
        <f>SUMIFS('F3 - Relevé du personnel'!$M$4:$M$281,'F3 - Relevé du personnel'!$D$4:$D$281,$BD85,'F3 - Relevé du personnel'!$C$4:$C$281,'F0 - Données générales'!$K$33)</f>
        <v>0</v>
      </c>
      <c r="BJ85" s="189">
        <f t="shared" si="61"/>
        <v>0</v>
      </c>
      <c r="BK85" s="259">
        <f>SUMIFS('F3 - Relevé du personnel'!$O$4:$O$281,'F3 - Relevé du personnel'!$D$4:$D$281,$BD85,'F3 - Relevé du personnel'!$C$4:$C$281,'F0 - Données générales'!$K$33)</f>
        <v>0</v>
      </c>
      <c r="BL85" s="259">
        <f>SUMIFS('F3 - Relevé du personnel'!$P$4:$P$281,'F3 - Relevé du personnel'!$D$4:$D$281,$BD85,'F3 - Relevé du personnel'!$C$4:$C$281,'F0 - Données générales'!$K$33)</f>
        <v>0</v>
      </c>
      <c r="BM85" s="259">
        <f>SUMIFS('F3 - Relevé du personnel'!$Q$4:$Q$281,'F3 - Relevé du personnel'!$D$4:$D$281,$BD85,'F3 - Relevé du personnel'!$C$4:$C$281,'F0 - Données générales'!$K$33)</f>
        <v>0</v>
      </c>
      <c r="BN85" s="48">
        <f t="shared" si="62"/>
        <v>0</v>
      </c>
      <c r="BO85" s="187" t="str">
        <f t="shared" si="63"/>
        <v/>
      </c>
      <c r="BP85" s="188" t="str">
        <f>IF(BG85=0,"",(SUMPRODUCT(($D$4:$D$253=BD85)*($C$4:$C$253='F0 - Données générales'!$K$33)*($E$4:$E$253)*($F$4:$F$253))+SUMPRODUCT(($D$257:$D$281=BD85)*($C$257:$C$281='F0 - Données générales'!$K$33)*($E$257:$E$281)*($F$257:$F$281)))/(SUMIFS('F3 - Relevé du personnel'!$E$4:$E$281,'F3 - Relevé du personnel'!$D$4:$D$281,$BD85,'F3 - Relevé du personnel'!$C$4:$C$281,'F0 - Données générales'!$K$33)))</f>
        <v/>
      </c>
      <c r="BQ85" s="171"/>
      <c r="BR85" s="170"/>
    </row>
    <row r="86" spans="1:74" ht="15" customHeight="1" x14ac:dyDescent="0.3">
      <c r="A86" s="106">
        <v>83</v>
      </c>
      <c r="B86" s="324">
        <f>'F0 - Données générales'!$C$4</f>
        <v>7</v>
      </c>
      <c r="C86" s="106" t="s">
        <v>95</v>
      </c>
      <c r="D86" s="106"/>
      <c r="E86" s="107"/>
      <c r="F86" s="108"/>
      <c r="G86" s="109"/>
      <c r="H86" s="110">
        <f t="shared" si="47"/>
        <v>0</v>
      </c>
      <c r="I86" s="177"/>
      <c r="J86" s="118" t="str">
        <f>IF(OR(D86="",F86=""),"",(((HLOOKUP(D86,'Carrières et points'!$A$20:$AD$60,F86+2,FALSE)*'Carrières et points'!$C$7*'Carrières et points'!$C$9)+(HLOOKUP(D86,'Carrières et points'!$A$20:$AD$60,F86+2,FALSE)*'Carrières et points'!$C$13*'Carrières et points'!$C$15))*(1+'F0 - Données générales'!$I$4)+((HLOOKUP(D86,'Carrières et points'!$A$20:$AD$60,F86+2,FALSE)*'Carrières et points'!$C$7*'Carrières et points'!$C$9)+(HLOOKUP(D86,'Carrières et points'!$A$20:$AD$60,F86+2,FALSE)*'Carrières et points'!$C$13*'Carrières et points'!$C$15))/12*(1+'F0 - Données générales'!$L$13))*E86)</f>
        <v/>
      </c>
      <c r="K86" s="118" t="str">
        <f t="shared" si="48"/>
        <v/>
      </c>
      <c r="L86" s="109"/>
      <c r="M86" s="177"/>
      <c r="N86" s="118" t="str">
        <f t="shared" si="49"/>
        <v/>
      </c>
      <c r="O86" s="177"/>
      <c r="P86" s="177"/>
      <c r="Q86" s="177"/>
      <c r="R86" s="255" t="str">
        <f t="shared" si="50"/>
        <v/>
      </c>
      <c r="S86" s="120"/>
      <c r="T86" s="742" t="s">
        <v>79</v>
      </c>
      <c r="U86" s="742"/>
      <c r="V86" s="26" t="s">
        <v>88</v>
      </c>
      <c r="W86" s="741" t="s">
        <v>89</v>
      </c>
      <c r="X86" s="741"/>
      <c r="Y86" s="181">
        <f>SUMIFS('F3 - Relevé du personnel'!$E$4:$E$281,'F3 - Relevé du personnel'!$D$4:$D$281,$V86,'F3 - Relevé du personnel'!$C$4:$C$281,'F0 - Données générales'!$K$31,'F3 - Relevé du personnel'!$B$4:$B$281,"8.2")</f>
        <v>0</v>
      </c>
      <c r="Z86" s="181">
        <f>SUMIFS('F3 - Relevé du personnel'!$H$4:$H$281,'F3 - Relevé du personnel'!$D$4:$D$281,$V86,'F3 - Relevé du personnel'!$C$4:$C$281,'F0 - Données générales'!$K$31,'F3 - Relevé du personnel'!$B$4:$B$281,"8.2")</f>
        <v>0</v>
      </c>
      <c r="AA86" s="256">
        <f>SUMIFS('F3 - Relevé du personnel'!$I$4:$I$281,'F3 - Relevé du personnel'!$D$4:$D$281,$V86,'F3 - Relevé du personnel'!$C$4:$C$281,'F0 - Données générales'!$K$31,'F3 - Relevé du personnel'!$B$4:$B$281,"8.2")</f>
        <v>0</v>
      </c>
      <c r="AB86" s="256">
        <f>SUMIFS('F3 - Relevé du personnel'!$M$4:$M$281,'F3 - Relevé du personnel'!$D$4:$D$281,$V86,'F3 - Relevé du personnel'!$C$4:$C$281,'F0 - Données générales'!$K$31,'F3 - Relevé du personnel'!$B$4:$B$281,"8.2")</f>
        <v>0</v>
      </c>
      <c r="AC86" s="196">
        <f t="shared" si="51"/>
        <v>0</v>
      </c>
      <c r="AD86" s="256">
        <f>SUMIFS('F3 - Relevé du personnel'!$O$4:$O$281,'F3 - Relevé du personnel'!$D$4:$D$281,$V86,'F3 - Relevé du personnel'!$C$4:$C$281,'F0 - Données générales'!$K$31,'F3 - Relevé du personnel'!$B$4:$B$281,"8.2")</f>
        <v>0</v>
      </c>
      <c r="AE86" s="256">
        <f>SUMIFS('F3 - Relevé du personnel'!$P$4:$P$281,'F3 - Relevé du personnel'!$D$4:$D$281,$V86,'F3 - Relevé du personnel'!$C$4:$C$281,'F0 - Données générales'!$K$31,'F3 - Relevé du personnel'!$B$4:$B$281,"8.2")</f>
        <v>0</v>
      </c>
      <c r="AF86" s="256">
        <f>SUMIFS('F3 - Relevé du personnel'!$Q$4:$Q$281,'F3 - Relevé du personnel'!$D$4:$D$281,$V86,'F3 - Relevé du personnel'!$C$4:$C$281,'F0 - Données générales'!$K$31,'F3 - Relevé du personnel'!$B$4:$B$281,"8.2")</f>
        <v>0</v>
      </c>
      <c r="AG86" s="182">
        <f t="shared" si="52"/>
        <v>0</v>
      </c>
      <c r="AH86" s="197" t="str">
        <f t="shared" si="53"/>
        <v/>
      </c>
      <c r="AI86" s="198" t="str">
        <f>IF(Y86=0,"",(SUMPRODUCT(($D$4:$D$253=V86)*($C$4:$C$253='F0 - Données générales'!$K$31)*($E$4:$E$253)*($F$4:$F$253)*($B$4:$B$253="8.2"))+SUMPRODUCT(($D$257:$D$281=V86)*($C$257:$C$281='F0 - Données générales'!$K$31)*($B$257:$B$281="8.2")*($E$257:$E$281)*($F$257:$F$281)))/(SUMIFS('F3 - Relevé du personnel'!$E$4:$E$281,'F3 - Relevé du personnel'!$D$4:$D$281,$V86,'F3 - Relevé du personnel'!$C$4:$C$281,'F0 - Données générales'!$K$31,'F3 - Relevé du personnel'!$B$4:$B$281,"8.2")))</f>
        <v/>
      </c>
      <c r="AJ86" s="120"/>
      <c r="AK86" s="742" t="s">
        <v>79</v>
      </c>
      <c r="AL86" s="742"/>
      <c r="AM86" s="26" t="s">
        <v>88</v>
      </c>
      <c r="AN86" s="741" t="s">
        <v>89</v>
      </c>
      <c r="AO86" s="741"/>
      <c r="AP86" s="181">
        <f>SUMIFS('F3 - Relevé du personnel'!$E$4:$E$281,'F3 - Relevé du personnel'!$D$4:$D$281,$AM86,'F3 - Relevé du personnel'!$C$4:$C$281,'F0 - Données générales'!$K$31,'F3 - Relevé du personnel'!$B$4:$B$281,"AUSC")</f>
        <v>0</v>
      </c>
      <c r="AQ86" s="181">
        <f>SUMIFS('F3 - Relevé du personnel'!$H$4:$H$281,'F3 - Relevé du personnel'!$D$4:$D$281,$AM86,'F3 - Relevé du personnel'!$C$4:$C$281,'F0 - Données générales'!$K$31,'F3 - Relevé du personnel'!$B$4:$B$281,"AUSC")</f>
        <v>0</v>
      </c>
      <c r="AR86" s="256">
        <f>SUMIFS('F3 - Relevé du personnel'!$I$4:$I$281,'F3 - Relevé du personnel'!$D$4:$D$281,$AM86,'F3 - Relevé du personnel'!$C$4:$C$281,'F0 - Données générales'!$K$31,'F3 - Relevé du personnel'!$B$4:$B$281,"AUSC")</f>
        <v>0</v>
      </c>
      <c r="AS86" s="256">
        <f>SUMIFS('F3 - Relevé du personnel'!$M$4:$M$281,'F3 - Relevé du personnel'!$D$4:$D$281,$AM86,'F3 - Relevé du personnel'!$C$4:$C$281,'F0 - Données générales'!$K$31,'F3 - Relevé du personnel'!$B$4:$B$281,"AUSC")</f>
        <v>0</v>
      </c>
      <c r="AT86" s="196">
        <f t="shared" si="59"/>
        <v>0</v>
      </c>
      <c r="AU86" s="256">
        <f>SUMIFS('F3 - Relevé du personnel'!$O$4:$O$281,'F3 - Relevé du personnel'!$D$4:$D$281,$AM86,'F3 - Relevé du personnel'!$C$4:$C$281,'F0 - Données générales'!$K$31,'F3 - Relevé du personnel'!$B$4:$B$281,"AUSC")</f>
        <v>0</v>
      </c>
      <c r="AV86" s="256">
        <f>SUMIFS('F3 - Relevé du personnel'!$P$4:$P$281,'F3 - Relevé du personnel'!$D$4:$D$281,$AM86,'F3 - Relevé du personnel'!$C$4:$C$281,'F0 - Données générales'!$K$31,'F3 - Relevé du personnel'!$B$4:$B$281,"AUSC")</f>
        <v>0</v>
      </c>
      <c r="AW86" s="256">
        <f>SUMIFS('F3 - Relevé du personnel'!$Q$4:$Q$281,'F3 - Relevé du personnel'!$D$4:$D$281,$AM86,'F3 - Relevé du personnel'!$C$4:$C$281,'F0 - Données générales'!$K$31,'F3 - Relevé du personnel'!$B$4:$B$281,"AUSC")</f>
        <v>0</v>
      </c>
      <c r="AX86" s="182">
        <f t="shared" si="60"/>
        <v>0</v>
      </c>
      <c r="AY86" s="197" t="str">
        <f t="shared" si="58"/>
        <v/>
      </c>
      <c r="AZ86" s="198" t="str">
        <f>IF(AP86=0,"",(SUMPRODUCT(($D$4:$D$253=AM86)*($C$4:$C$253='F0 - Données générales'!$K$31)*($E$4:$E$253)*($F$4:$F$253)*($B$4:$B$253="AUSC"))+SUMPRODUCT(($D$257:$D$281=AM86)*($C$257:$C$281='F0 - Données générales'!$K$31)*($B$257:$B$281="AUSC")*($E$257:$E$281)*($F$257:$F$281)))/(SUMIFS('F3 - Relevé du personnel'!$E$4:$E$281,'F3 - Relevé du personnel'!$D$4:$D$281,$AM86,'F3 - Relevé du personnel'!$C$4:$C$281,'F0 - Données générales'!$K$31,'F3 - Relevé du personnel'!$B$4:$B$281,"AUSC")))</f>
        <v/>
      </c>
      <c r="BA86" s="120"/>
      <c r="BB86" s="760" t="s">
        <v>64</v>
      </c>
      <c r="BC86" s="761"/>
      <c r="BD86" s="13" t="s">
        <v>72</v>
      </c>
      <c r="BE86" s="758" t="s">
        <v>73</v>
      </c>
      <c r="BF86" s="759"/>
      <c r="BG86" s="45">
        <f>SUMIFS('F3 - Relevé du personnel'!$E$4:$E$281,'F3 - Relevé du personnel'!$D$4:$D$281,$BD86,'F3 - Relevé du personnel'!$C$4:$C$281,'F0 - Données générales'!$K$33)</f>
        <v>0</v>
      </c>
      <c r="BH86" s="259">
        <f>SUMIFS('F3 - Relevé du personnel'!$I$4:$I$281,'F3 - Relevé du personnel'!$D$4:$D$281,$BD86,'F3 - Relevé du personnel'!$C$4:$C$281,'F0 - Données générales'!$K$33)</f>
        <v>0</v>
      </c>
      <c r="BI86" s="259">
        <f>SUMIFS('F3 - Relevé du personnel'!$M$4:$M$281,'F3 - Relevé du personnel'!$D$4:$D$281,$BD86,'F3 - Relevé du personnel'!$C$4:$C$281,'F0 - Données générales'!$K$33)</f>
        <v>0</v>
      </c>
      <c r="BJ86" s="189">
        <f t="shared" si="61"/>
        <v>0</v>
      </c>
      <c r="BK86" s="259">
        <f>SUMIFS('F3 - Relevé du personnel'!$O$4:$O$281,'F3 - Relevé du personnel'!$D$4:$D$281,$BD86,'F3 - Relevé du personnel'!$C$4:$C$281,'F0 - Données générales'!$K$33)</f>
        <v>0</v>
      </c>
      <c r="BL86" s="259">
        <f>SUMIFS('F3 - Relevé du personnel'!$P$4:$P$281,'F3 - Relevé du personnel'!$D$4:$D$281,$BD86,'F3 - Relevé du personnel'!$C$4:$C$281,'F0 - Données générales'!$K$33)</f>
        <v>0</v>
      </c>
      <c r="BM86" s="259">
        <f>SUMIFS('F3 - Relevé du personnel'!$Q$4:$Q$281,'F3 - Relevé du personnel'!$D$4:$D$281,$BD86,'F3 - Relevé du personnel'!$C$4:$C$281,'F0 - Données générales'!$K$33)</f>
        <v>0</v>
      </c>
      <c r="BN86" s="48">
        <f t="shared" si="62"/>
        <v>0</v>
      </c>
      <c r="BO86" s="187" t="str">
        <f t="shared" si="63"/>
        <v/>
      </c>
      <c r="BP86" s="188" t="str">
        <f>IF(BG86=0,"",(SUMPRODUCT(($D$4:$D$253=BD86)*($C$4:$C$253='F0 - Données générales'!$K$33)*($E$4:$E$253)*($F$4:$F$253))+SUMPRODUCT(($D$257:$D$281=BD86)*($C$257:$C$281='F0 - Données générales'!$K$33)*($E$257:$E$281)*($F$257:$F$281)))/(SUMIFS('F3 - Relevé du personnel'!$E$4:$E$281,'F3 - Relevé du personnel'!$D$4:$D$281,$BD86,'F3 - Relevé du personnel'!$C$4:$C$281,'F0 - Données générales'!$K$33)))</f>
        <v/>
      </c>
      <c r="BQ86" s="171"/>
      <c r="BR86" s="170"/>
    </row>
    <row r="87" spans="1:74" ht="15" customHeight="1" x14ac:dyDescent="0.3">
      <c r="A87" s="106">
        <v>84</v>
      </c>
      <c r="B87" s="324">
        <f>'F0 - Données générales'!$C$4</f>
        <v>7</v>
      </c>
      <c r="C87" s="106" t="s">
        <v>95</v>
      </c>
      <c r="D87" s="106"/>
      <c r="E87" s="107"/>
      <c r="F87" s="108"/>
      <c r="G87" s="109"/>
      <c r="H87" s="110">
        <f t="shared" si="47"/>
        <v>0</v>
      </c>
      <c r="I87" s="177"/>
      <c r="J87" s="118" t="str">
        <f>IF(OR(D87="",F87=""),"",(((HLOOKUP(D87,'Carrières et points'!$A$20:$AD$60,F87+2,FALSE)*'Carrières et points'!$C$7*'Carrières et points'!$C$9)+(HLOOKUP(D87,'Carrières et points'!$A$20:$AD$60,F87+2,FALSE)*'Carrières et points'!$C$13*'Carrières et points'!$C$15))*(1+'F0 - Données générales'!$I$4)+((HLOOKUP(D87,'Carrières et points'!$A$20:$AD$60,F87+2,FALSE)*'Carrières et points'!$C$7*'Carrières et points'!$C$9)+(HLOOKUP(D87,'Carrières et points'!$A$20:$AD$60,F87+2,FALSE)*'Carrières et points'!$C$13*'Carrières et points'!$C$15))/12*(1+'F0 - Données générales'!$L$13))*E87)</f>
        <v/>
      </c>
      <c r="K87" s="118" t="str">
        <f t="shared" si="48"/>
        <v/>
      </c>
      <c r="L87" s="109"/>
      <c r="M87" s="177"/>
      <c r="N87" s="118" t="str">
        <f t="shared" si="49"/>
        <v/>
      </c>
      <c r="O87" s="177"/>
      <c r="P87" s="177"/>
      <c r="Q87" s="177"/>
      <c r="R87" s="255" t="str">
        <f t="shared" si="50"/>
        <v/>
      </c>
      <c r="S87" s="120"/>
      <c r="T87" s="742" t="s">
        <v>79</v>
      </c>
      <c r="U87" s="742"/>
      <c r="V87" s="26" t="s">
        <v>90</v>
      </c>
      <c r="W87" s="741" t="s">
        <v>91</v>
      </c>
      <c r="X87" s="741"/>
      <c r="Y87" s="181">
        <f>SUMIFS('F3 - Relevé du personnel'!$E$4:$E$281,'F3 - Relevé du personnel'!$D$4:$D$281,$V87,'F3 - Relevé du personnel'!$C$4:$C$281,'F0 - Données générales'!$K$31,'F3 - Relevé du personnel'!$B$4:$B$281,"8.2")</f>
        <v>0</v>
      </c>
      <c r="Z87" s="181">
        <f>SUMIFS('F3 - Relevé du personnel'!$H$4:$H$281,'F3 - Relevé du personnel'!$D$4:$D$281,$V87,'F3 - Relevé du personnel'!$C$4:$C$281,'F0 - Données générales'!$K$31,'F3 - Relevé du personnel'!$B$4:$B$281,"8.2")</f>
        <v>0</v>
      </c>
      <c r="AA87" s="256">
        <f>SUMIFS('F3 - Relevé du personnel'!$I$4:$I$281,'F3 - Relevé du personnel'!$D$4:$D$281,$V87,'F3 - Relevé du personnel'!$C$4:$C$281,'F0 - Données générales'!$K$31,'F3 - Relevé du personnel'!$B$4:$B$281,"8.2")</f>
        <v>0</v>
      </c>
      <c r="AB87" s="256">
        <f>SUMIFS('F3 - Relevé du personnel'!$M$4:$M$281,'F3 - Relevé du personnel'!$D$4:$D$281,$V87,'F3 - Relevé du personnel'!$C$4:$C$281,'F0 - Données générales'!$K$31,'F3 - Relevé du personnel'!$B$4:$B$281,"8.2")</f>
        <v>0</v>
      </c>
      <c r="AC87" s="196">
        <f t="shared" si="51"/>
        <v>0</v>
      </c>
      <c r="AD87" s="256">
        <f>SUMIFS('F3 - Relevé du personnel'!$O$4:$O$281,'F3 - Relevé du personnel'!$D$4:$D$281,$V87,'F3 - Relevé du personnel'!$C$4:$C$281,'F0 - Données générales'!$K$31,'F3 - Relevé du personnel'!$B$4:$B$281,"8.2")</f>
        <v>0</v>
      </c>
      <c r="AE87" s="256">
        <f>SUMIFS('F3 - Relevé du personnel'!$P$4:$P$281,'F3 - Relevé du personnel'!$D$4:$D$281,$V87,'F3 - Relevé du personnel'!$C$4:$C$281,'F0 - Données générales'!$K$31,'F3 - Relevé du personnel'!$B$4:$B$281,"8.2")</f>
        <v>0</v>
      </c>
      <c r="AF87" s="256">
        <f>SUMIFS('F3 - Relevé du personnel'!$Q$4:$Q$281,'F3 - Relevé du personnel'!$D$4:$D$281,$V87,'F3 - Relevé du personnel'!$C$4:$C$281,'F0 - Données générales'!$K$31,'F3 - Relevé du personnel'!$B$4:$B$281,"8.2")</f>
        <v>0</v>
      </c>
      <c r="AG87" s="182">
        <f t="shared" si="52"/>
        <v>0</v>
      </c>
      <c r="AH87" s="197" t="str">
        <f t="shared" si="53"/>
        <v/>
      </c>
      <c r="AI87" s="198" t="str">
        <f>IF(Y87=0,"",(SUMPRODUCT(($D$4:$D$253=V87)*($C$4:$C$253='F0 - Données générales'!$K$31)*($E$4:$E$253)*($F$4:$F$253)*($B$4:$B$253="8.2"))+SUMPRODUCT(($D$257:$D$281=V87)*($C$257:$C$281='F0 - Données générales'!$K$31)*($B$257:$B$281="8.2")*($E$257:$E$281)*($F$257:$F$281)))/(SUMIFS('F3 - Relevé du personnel'!$E$4:$E$281,'F3 - Relevé du personnel'!$D$4:$D$281,$V87,'F3 - Relevé du personnel'!$C$4:$C$281,'F0 - Données générales'!$K$31,'F3 - Relevé du personnel'!$B$4:$B$281,"8.2")))</f>
        <v/>
      </c>
      <c r="AJ87" s="120"/>
      <c r="AK87" s="742" t="s">
        <v>79</v>
      </c>
      <c r="AL87" s="742"/>
      <c r="AM87" s="26" t="s">
        <v>90</v>
      </c>
      <c r="AN87" s="741" t="s">
        <v>91</v>
      </c>
      <c r="AO87" s="741"/>
      <c r="AP87" s="181">
        <f>SUMIFS('F3 - Relevé du personnel'!$E$4:$E$281,'F3 - Relevé du personnel'!$D$4:$D$281,$AM87,'F3 - Relevé du personnel'!$C$4:$C$281,'F0 - Données générales'!$K$31,'F3 - Relevé du personnel'!$B$4:$B$281,"AUSC")</f>
        <v>0</v>
      </c>
      <c r="AQ87" s="181">
        <f>SUMIFS('F3 - Relevé du personnel'!$H$4:$H$281,'F3 - Relevé du personnel'!$D$4:$D$281,$AM87,'F3 - Relevé du personnel'!$C$4:$C$281,'F0 - Données générales'!$K$31,'F3 - Relevé du personnel'!$B$4:$B$281,"AUSC")</f>
        <v>0</v>
      </c>
      <c r="AR87" s="256">
        <f>SUMIFS('F3 - Relevé du personnel'!$I$4:$I$281,'F3 - Relevé du personnel'!$D$4:$D$281,$AM87,'F3 - Relevé du personnel'!$C$4:$C$281,'F0 - Données générales'!$K$31,'F3 - Relevé du personnel'!$B$4:$B$281,"AUSC")</f>
        <v>0</v>
      </c>
      <c r="AS87" s="256">
        <f>SUMIFS('F3 - Relevé du personnel'!$M$4:$M$281,'F3 - Relevé du personnel'!$D$4:$D$281,$AM87,'F3 - Relevé du personnel'!$C$4:$C$281,'F0 - Données générales'!$K$31,'F3 - Relevé du personnel'!$B$4:$B$281,"AUSC")</f>
        <v>0</v>
      </c>
      <c r="AT87" s="196">
        <f t="shared" si="59"/>
        <v>0</v>
      </c>
      <c r="AU87" s="256">
        <f>SUMIFS('F3 - Relevé du personnel'!$O$4:$O$281,'F3 - Relevé du personnel'!$D$4:$D$281,$AM87,'F3 - Relevé du personnel'!$C$4:$C$281,'F0 - Données générales'!$K$31,'F3 - Relevé du personnel'!$B$4:$B$281,"AUSC")</f>
        <v>0</v>
      </c>
      <c r="AV87" s="256">
        <f>SUMIFS('F3 - Relevé du personnel'!$P$4:$P$281,'F3 - Relevé du personnel'!$D$4:$D$281,$AM87,'F3 - Relevé du personnel'!$C$4:$C$281,'F0 - Données générales'!$K$31,'F3 - Relevé du personnel'!$B$4:$B$281,"AUSC")</f>
        <v>0</v>
      </c>
      <c r="AW87" s="256">
        <f>SUMIFS('F3 - Relevé du personnel'!$Q$4:$Q$281,'F3 - Relevé du personnel'!$D$4:$D$281,$AM87,'F3 - Relevé du personnel'!$C$4:$C$281,'F0 - Données générales'!$K$31,'F3 - Relevé du personnel'!$B$4:$B$281,"AUSC")</f>
        <v>0</v>
      </c>
      <c r="AX87" s="182">
        <f t="shared" si="60"/>
        <v>0</v>
      </c>
      <c r="AY87" s="197" t="str">
        <f t="shared" si="58"/>
        <v/>
      </c>
      <c r="AZ87" s="198" t="str">
        <f>IF(AP87=0,"",(SUMPRODUCT(($D$4:$D$253=AM87)*($C$4:$C$253='F0 - Données générales'!$K$31)*($E$4:$E$253)*($F$4:$F$253)*($B$4:$B$253="AUSC"))+SUMPRODUCT(($D$257:$D$281=AM87)*($C$257:$C$281='F0 - Données générales'!$K$31)*($B$257:$B$281="AUSC")*($E$257:$E$281)*($F$257:$F$281)))/(SUMIFS('F3 - Relevé du personnel'!$E$4:$E$281,'F3 - Relevé du personnel'!$D$4:$D$281,$AM87,'F3 - Relevé du personnel'!$C$4:$C$281,'F0 - Données générales'!$K$31,'F3 - Relevé du personnel'!$B$4:$B$281,"AUSC")))</f>
        <v/>
      </c>
      <c r="BA87" s="120"/>
      <c r="BB87" s="760" t="s">
        <v>65</v>
      </c>
      <c r="BC87" s="761"/>
      <c r="BD87" s="13" t="s">
        <v>74</v>
      </c>
      <c r="BE87" s="758" t="s">
        <v>75</v>
      </c>
      <c r="BF87" s="759"/>
      <c r="BG87" s="45">
        <f>SUMIFS('F3 - Relevé du personnel'!$E$4:$E$281,'F3 - Relevé du personnel'!$D$4:$D$281,$BD87,'F3 - Relevé du personnel'!$C$4:$C$281,'F0 - Données générales'!$K$33)</f>
        <v>0</v>
      </c>
      <c r="BH87" s="259">
        <f>SUMIFS('F3 - Relevé du personnel'!$I$4:$I$281,'F3 - Relevé du personnel'!$D$4:$D$281,$BD87,'F3 - Relevé du personnel'!$C$4:$C$281,'F0 - Données générales'!$K$33)</f>
        <v>0</v>
      </c>
      <c r="BI87" s="259">
        <f>SUMIFS('F3 - Relevé du personnel'!$M$4:$M$281,'F3 - Relevé du personnel'!$D$4:$D$281,$BD87,'F3 - Relevé du personnel'!$C$4:$C$281,'F0 - Données générales'!$K$33)</f>
        <v>0</v>
      </c>
      <c r="BJ87" s="189">
        <f t="shared" si="61"/>
        <v>0</v>
      </c>
      <c r="BK87" s="259">
        <f>SUMIFS('F3 - Relevé du personnel'!$O$4:$O$281,'F3 - Relevé du personnel'!$D$4:$D$281,$BD87,'F3 - Relevé du personnel'!$C$4:$C$281,'F0 - Données générales'!$K$33)</f>
        <v>0</v>
      </c>
      <c r="BL87" s="259">
        <f>SUMIFS('F3 - Relevé du personnel'!$P$4:$P$281,'F3 - Relevé du personnel'!$D$4:$D$281,$BD87,'F3 - Relevé du personnel'!$C$4:$C$281,'F0 - Données générales'!$K$33)</f>
        <v>0</v>
      </c>
      <c r="BM87" s="259">
        <f>SUMIFS('F3 - Relevé du personnel'!$Q$4:$Q$281,'F3 - Relevé du personnel'!$D$4:$D$281,$BD87,'F3 - Relevé du personnel'!$C$4:$C$281,'F0 - Données générales'!$K$33)</f>
        <v>0</v>
      </c>
      <c r="BN87" s="48">
        <f t="shared" si="62"/>
        <v>0</v>
      </c>
      <c r="BO87" s="187" t="str">
        <f t="shared" si="63"/>
        <v/>
      </c>
      <c r="BP87" s="188" t="str">
        <f>IF(BG87=0,"",(SUMPRODUCT(($D$4:$D$253=BD87)*($C$4:$C$253='F0 - Données générales'!$K$33)*($E$4:$E$253)*($F$4:$F$253))+SUMPRODUCT(($D$257:$D$281=BD87)*($C$257:$C$281='F0 - Données générales'!$K$33)*($E$257:$E$281)*($F$257:$F$281)))/(SUMIFS('F3 - Relevé du personnel'!$E$4:$E$281,'F3 - Relevé du personnel'!$D$4:$D$281,$BD87,'F3 - Relevé du personnel'!$C$4:$C$281,'F0 - Données générales'!$K$33)))</f>
        <v/>
      </c>
      <c r="BQ87" s="171"/>
      <c r="BR87" s="170"/>
    </row>
    <row r="88" spans="1:74" ht="15" customHeight="1" x14ac:dyDescent="0.3">
      <c r="A88" s="106">
        <v>85</v>
      </c>
      <c r="B88" s="324">
        <f>'F0 - Données générales'!$C$4</f>
        <v>7</v>
      </c>
      <c r="C88" s="106" t="s">
        <v>95</v>
      </c>
      <c r="D88" s="106"/>
      <c r="E88" s="107"/>
      <c r="F88" s="108"/>
      <c r="G88" s="109"/>
      <c r="H88" s="110">
        <f t="shared" si="47"/>
        <v>0</v>
      </c>
      <c r="I88" s="177"/>
      <c r="J88" s="118" t="str">
        <f>IF(OR(D88="",F88=""),"",(((HLOOKUP(D88,'Carrières et points'!$A$20:$AD$60,F88+2,FALSE)*'Carrières et points'!$C$7*'Carrières et points'!$C$9)+(HLOOKUP(D88,'Carrières et points'!$A$20:$AD$60,F88+2,FALSE)*'Carrières et points'!$C$13*'Carrières et points'!$C$15))*(1+'F0 - Données générales'!$I$4)+((HLOOKUP(D88,'Carrières et points'!$A$20:$AD$60,F88+2,FALSE)*'Carrières et points'!$C$7*'Carrières et points'!$C$9)+(HLOOKUP(D88,'Carrières et points'!$A$20:$AD$60,F88+2,FALSE)*'Carrières et points'!$C$13*'Carrières et points'!$C$15))/12*(1+'F0 - Données générales'!$L$13))*E88)</f>
        <v/>
      </c>
      <c r="K88" s="118" t="str">
        <f t="shared" si="48"/>
        <v/>
      </c>
      <c r="L88" s="109"/>
      <c r="M88" s="177"/>
      <c r="N88" s="118" t="str">
        <f t="shared" si="49"/>
        <v/>
      </c>
      <c r="O88" s="177"/>
      <c r="P88" s="177"/>
      <c r="Q88" s="177"/>
      <c r="R88" s="255" t="str">
        <f t="shared" si="50"/>
        <v/>
      </c>
      <c r="S88" s="120"/>
      <c r="T88" s="743"/>
      <c r="U88" s="743"/>
      <c r="V88" s="749" t="s">
        <v>166</v>
      </c>
      <c r="W88" s="749"/>
      <c r="X88" s="749"/>
      <c r="Y88" s="199">
        <f>SUM(Y82:Y87)</f>
        <v>0</v>
      </c>
      <c r="Z88" s="199">
        <f>SUM(Z82:Z87)</f>
        <v>0</v>
      </c>
      <c r="AA88" s="200">
        <f>SUM(AA82:AA87)</f>
        <v>0</v>
      </c>
      <c r="AB88" s="200">
        <f>SUM(AB82:AB87)</f>
        <v>0</v>
      </c>
      <c r="AC88" s="200">
        <f t="shared" si="51"/>
        <v>0</v>
      </c>
      <c r="AD88" s="200">
        <f>SUM(AD82:AD87)</f>
        <v>0</v>
      </c>
      <c r="AE88" s="200">
        <f>SUM(AE82:AE87)</f>
        <v>0</v>
      </c>
      <c r="AF88" s="200">
        <f>SUM(AF82:AF87)</f>
        <v>0</v>
      </c>
      <c r="AG88" s="201">
        <f t="shared" si="52"/>
        <v>0</v>
      </c>
      <c r="AH88" s="201" t="str">
        <f t="shared" si="53"/>
        <v/>
      </c>
      <c r="AI88" s="202"/>
      <c r="AJ88" s="120"/>
      <c r="AK88" s="743"/>
      <c r="AL88" s="743"/>
      <c r="AM88" s="749" t="s">
        <v>166</v>
      </c>
      <c r="AN88" s="749"/>
      <c r="AO88" s="749"/>
      <c r="AP88" s="199">
        <f>SUM(AP82:AP87)</f>
        <v>0</v>
      </c>
      <c r="AQ88" s="199">
        <f>SUM(AQ82:AQ87)</f>
        <v>0</v>
      </c>
      <c r="AR88" s="200">
        <f>SUM(AR82:AR87)</f>
        <v>0</v>
      </c>
      <c r="AS88" s="200">
        <f>SUM(AS82:AS87)</f>
        <v>0</v>
      </c>
      <c r="AT88" s="200">
        <f>(AR88+AS88)</f>
        <v>0</v>
      </c>
      <c r="AU88" s="200">
        <f>SUM(AU82:AU87)</f>
        <v>0</v>
      </c>
      <c r="AV88" s="200">
        <f>SUM(AV82:AV87)</f>
        <v>0</v>
      </c>
      <c r="AW88" s="200">
        <f>SUM(AW82:AW87)</f>
        <v>0</v>
      </c>
      <c r="AX88" s="201">
        <f>AR88+AS88-SUM(AU88:AW88)</f>
        <v>0</v>
      </c>
      <c r="AY88" s="201" t="str">
        <f t="shared" si="58"/>
        <v/>
      </c>
      <c r="AZ88" s="202"/>
      <c r="BA88" s="120"/>
      <c r="BB88" s="760" t="s">
        <v>65</v>
      </c>
      <c r="BC88" s="761"/>
      <c r="BD88" s="13" t="s">
        <v>76</v>
      </c>
      <c r="BE88" s="758" t="s">
        <v>77</v>
      </c>
      <c r="BF88" s="759"/>
      <c r="BG88" s="45">
        <f>SUMIFS('F3 - Relevé du personnel'!$E$4:$E$281,'F3 - Relevé du personnel'!$D$4:$D$281,$BD88,'F3 - Relevé du personnel'!$C$4:$C$281,'F0 - Données générales'!$K$33)</f>
        <v>0</v>
      </c>
      <c r="BH88" s="259">
        <f>SUMIFS('F3 - Relevé du personnel'!$I$4:$I$281,'F3 - Relevé du personnel'!$D$4:$D$281,$BD88,'F3 - Relevé du personnel'!$C$4:$C$281,'F0 - Données générales'!$K$33)</f>
        <v>0</v>
      </c>
      <c r="BI88" s="259">
        <f>SUMIFS('F3 - Relevé du personnel'!$M$4:$M$281,'F3 - Relevé du personnel'!$D$4:$D$281,$BD88,'F3 - Relevé du personnel'!$C$4:$C$281,'F0 - Données générales'!$K$33)</f>
        <v>0</v>
      </c>
      <c r="BJ88" s="189">
        <f t="shared" si="61"/>
        <v>0</v>
      </c>
      <c r="BK88" s="259">
        <f>SUMIFS('F3 - Relevé du personnel'!$O$4:$O$281,'F3 - Relevé du personnel'!$D$4:$D$281,$BD88,'F3 - Relevé du personnel'!$C$4:$C$281,'F0 - Données générales'!$K$33)</f>
        <v>0</v>
      </c>
      <c r="BL88" s="259">
        <f>SUMIFS('F3 - Relevé du personnel'!$P$4:$P$281,'F3 - Relevé du personnel'!$D$4:$D$281,$BD88,'F3 - Relevé du personnel'!$C$4:$C$281,'F0 - Données générales'!$K$33)</f>
        <v>0</v>
      </c>
      <c r="BM88" s="259">
        <f>SUMIFS('F3 - Relevé du personnel'!$Q$4:$Q$281,'F3 - Relevé du personnel'!$D$4:$D$281,$BD88,'F3 - Relevé du personnel'!$C$4:$C$281,'F0 - Données générales'!$K$33)</f>
        <v>0</v>
      </c>
      <c r="BN88" s="48">
        <f t="shared" si="62"/>
        <v>0</v>
      </c>
      <c r="BO88" s="187" t="str">
        <f t="shared" si="63"/>
        <v/>
      </c>
      <c r="BP88" s="188" t="str">
        <f>IF(BG88=0,"",(SUMPRODUCT(($D$4:$D$253=BD88)*($C$4:$C$253='F0 - Données générales'!$K$33)*($E$4:$E$253)*($F$4:$F$253))+SUMPRODUCT(($D$257:$D$281=BD88)*($C$257:$C$281='F0 - Données générales'!$K$33)*($E$257:$E$281)*($F$257:$F$281)))/(SUMIFS('F3 - Relevé du personnel'!$E$4:$E$281,'F3 - Relevé du personnel'!$D$4:$D$281,$BD88,'F3 - Relevé du personnel'!$C$4:$C$281,'F0 - Données générales'!$K$33)))</f>
        <v/>
      </c>
      <c r="BQ88" s="171"/>
    </row>
    <row r="89" spans="1:74" ht="15" customHeight="1" x14ac:dyDescent="0.3">
      <c r="A89" s="106">
        <v>86</v>
      </c>
      <c r="B89" s="324">
        <f>'F0 - Données générales'!$C$4</f>
        <v>7</v>
      </c>
      <c r="C89" s="106" t="s">
        <v>95</v>
      </c>
      <c r="D89" s="106"/>
      <c r="E89" s="107"/>
      <c r="F89" s="108"/>
      <c r="G89" s="109"/>
      <c r="H89" s="110">
        <f t="shared" si="47"/>
        <v>0</v>
      </c>
      <c r="I89" s="177"/>
      <c r="J89" s="118" t="str">
        <f>IF(OR(D89="",F89=""),"",(((HLOOKUP(D89,'Carrières et points'!$A$20:$AD$60,F89+2,FALSE)*'Carrières et points'!$C$7*'Carrières et points'!$C$9)+(HLOOKUP(D89,'Carrières et points'!$A$20:$AD$60,F89+2,FALSE)*'Carrières et points'!$C$13*'Carrières et points'!$C$15))*(1+'F0 - Données générales'!$I$4)+((HLOOKUP(D89,'Carrières et points'!$A$20:$AD$60,F89+2,FALSE)*'Carrières et points'!$C$7*'Carrières et points'!$C$9)+(HLOOKUP(D89,'Carrières et points'!$A$20:$AD$60,F89+2,FALSE)*'Carrières et points'!$C$13*'Carrières et points'!$C$15))/12*(1+'F0 - Données générales'!$L$13))*E89)</f>
        <v/>
      </c>
      <c r="K89" s="118" t="str">
        <f t="shared" si="48"/>
        <v/>
      </c>
      <c r="L89" s="109"/>
      <c r="M89" s="177"/>
      <c r="N89" s="118" t="str">
        <f t="shared" si="49"/>
        <v/>
      </c>
      <c r="O89" s="177"/>
      <c r="P89" s="177"/>
      <c r="Q89" s="177"/>
      <c r="R89" s="255" t="str">
        <f t="shared" si="50"/>
        <v/>
      </c>
      <c r="S89" s="120"/>
      <c r="T89" s="742" t="s">
        <v>79</v>
      </c>
      <c r="U89" s="742"/>
      <c r="V89" s="26" t="s">
        <v>92</v>
      </c>
      <c r="W89" s="741" t="s">
        <v>93</v>
      </c>
      <c r="X89" s="741"/>
      <c r="Y89" s="181">
        <f>SUMIFS('F3 - Relevé du personnel'!$E$4:$E$281,'F3 - Relevé du personnel'!$D$4:$D$281,$V89,'F3 - Relevé du personnel'!$C$4:$C$281,'F0 - Données générales'!$K$31,'F3 - Relevé du personnel'!$B$4:$B$281,"8.2")</f>
        <v>0</v>
      </c>
      <c r="Z89" s="181">
        <f>SUMIFS('F3 - Relevé du personnel'!$H$4:$H$281,'F3 - Relevé du personnel'!$D$4:$D$281,$V89,'F3 - Relevé du personnel'!$C$4:$C$281,'F0 - Données générales'!$K$31,'F3 - Relevé du personnel'!$B$4:$B$281,"8.2")</f>
        <v>0</v>
      </c>
      <c r="AA89" s="256">
        <f>SUMIFS('F3 - Relevé du personnel'!$I$4:$I$281,'F3 - Relevé du personnel'!$D$4:$D$281,$V89,'F3 - Relevé du personnel'!$C$4:$C$281,'F0 - Données générales'!$K$31,'F3 - Relevé du personnel'!$B$4:$B$281,"8.2")</f>
        <v>0</v>
      </c>
      <c r="AB89" s="256">
        <f>SUMIFS('F3 - Relevé du personnel'!$M$4:$M$281,'F3 - Relevé du personnel'!$D$4:$D$281,$V89,'F3 - Relevé du personnel'!$C$4:$C$281,'F0 - Données générales'!$K$31,'F3 - Relevé du personnel'!$B$4:$B$281,"8.2")</f>
        <v>0</v>
      </c>
      <c r="AC89" s="196">
        <f t="shared" si="51"/>
        <v>0</v>
      </c>
      <c r="AD89" s="256">
        <f>SUMIFS('F3 - Relevé du personnel'!$O$4:$O$281,'F3 - Relevé du personnel'!$D$4:$D$281,$V89,'F3 - Relevé du personnel'!$C$4:$C$281,'F0 - Données générales'!$K$31,'F3 - Relevé du personnel'!$B$4:$B$281,"8.2")</f>
        <v>0</v>
      </c>
      <c r="AE89" s="256">
        <f>SUMIFS('F3 - Relevé du personnel'!$P$4:$P$281,'F3 - Relevé du personnel'!$D$4:$D$281,$V89,'F3 - Relevé du personnel'!$C$4:$C$281,'F0 - Données générales'!$K$31,'F3 - Relevé du personnel'!$B$4:$B$281,"8.2")</f>
        <v>0</v>
      </c>
      <c r="AF89" s="256">
        <f>SUMIFS('F3 - Relevé du personnel'!$Q$4:$Q$281,'F3 - Relevé du personnel'!$D$4:$D$281,$V89,'F3 - Relevé du personnel'!$C$4:$C$281,'F0 - Données générales'!$K$31,'F3 - Relevé du personnel'!$B$4:$B$281,"8.2")</f>
        <v>0</v>
      </c>
      <c r="AG89" s="182">
        <f t="shared" si="52"/>
        <v>0</v>
      </c>
      <c r="AH89" s="197" t="str">
        <f t="shared" si="53"/>
        <v/>
      </c>
      <c r="AI89" s="198" t="str">
        <f>IF(Y89=0,"",(SUMPRODUCT(($D$4:$D$253=V89)*($C$4:$C$253='F0 - Données générales'!$K$31)*($E$4:$E$253)*($F$4:$F$253)*($B$4:$B$253="8.2"))+SUMPRODUCT(($D$257:$D$281=V89)*($C$257:$C$281='F0 - Données générales'!$K$31)*($B$257:$B$281="8.2")*($E$257:$E$281)*($F$257:$F$281)))/(SUMIFS('F3 - Relevé du personnel'!$E$4:$E$281,'F3 - Relevé du personnel'!$D$4:$D$281,$V89,'F3 - Relevé du personnel'!$C$4:$C$281,'F0 - Données générales'!$K$31,'F3 - Relevé du personnel'!$B$4:$B$281,"8.2")))</f>
        <v/>
      </c>
      <c r="AJ89" s="120"/>
      <c r="AK89" s="742" t="s">
        <v>79</v>
      </c>
      <c r="AL89" s="742"/>
      <c r="AM89" s="26" t="s">
        <v>92</v>
      </c>
      <c r="AN89" s="741" t="s">
        <v>93</v>
      </c>
      <c r="AO89" s="741"/>
      <c r="AP89" s="181">
        <f>SUMIFS('F3 - Relevé du personnel'!$E$4:$E$281,'F3 - Relevé du personnel'!$D$4:$D$281,$AM89,'F3 - Relevé du personnel'!$C$4:$C$281,'F0 - Données générales'!$K$31,'F3 - Relevé du personnel'!$B$4:$B$281,"AUSC")</f>
        <v>0</v>
      </c>
      <c r="AQ89" s="181">
        <f>SUMIFS('F3 - Relevé du personnel'!$H$4:$H$281,'F3 - Relevé du personnel'!$D$4:$D$281,$AM89,'F3 - Relevé du personnel'!$C$4:$C$281,'F0 - Données générales'!$K$31,'F3 - Relevé du personnel'!$B$4:$B$281,"AUSC")</f>
        <v>0</v>
      </c>
      <c r="AR89" s="256">
        <f>SUMIFS('F3 - Relevé du personnel'!$I$4:$I$281,'F3 - Relevé du personnel'!$D$4:$D$281,$AM89,'F3 - Relevé du personnel'!$C$4:$C$281,'F0 - Données générales'!$K$31,'F3 - Relevé du personnel'!$B$4:$B$281,"AUSC")</f>
        <v>0</v>
      </c>
      <c r="AS89" s="256">
        <f>SUMIFS('F3 - Relevé du personnel'!$M$4:$M$281,'F3 - Relevé du personnel'!$D$4:$D$281,$AM89,'F3 - Relevé du personnel'!$C$4:$C$281,'F0 - Données générales'!$K$31,'F3 - Relevé du personnel'!$B$4:$B$281,"AUSC")</f>
        <v>0</v>
      </c>
      <c r="AT89" s="196">
        <f>(AR89+AS89)</f>
        <v>0</v>
      </c>
      <c r="AU89" s="256">
        <f>SUMIFS('F3 - Relevé du personnel'!$O$4:$O$281,'F3 - Relevé du personnel'!$D$4:$D$281,$AM89,'F3 - Relevé du personnel'!$C$4:$C$281,'F0 - Données générales'!$K$31,'F3 - Relevé du personnel'!$B$4:$B$281,"AUSC")</f>
        <v>0</v>
      </c>
      <c r="AV89" s="256">
        <f>SUMIFS('F3 - Relevé du personnel'!$P$4:$P$281,'F3 - Relevé du personnel'!$D$4:$D$281,$AM89,'F3 - Relevé du personnel'!$C$4:$C$281,'F0 - Données générales'!$K$31,'F3 - Relevé du personnel'!$B$4:$B$281,"AUSC")</f>
        <v>0</v>
      </c>
      <c r="AW89" s="256">
        <f>SUMIFS('F3 - Relevé du personnel'!$Q$4:$Q$281,'F3 - Relevé du personnel'!$D$4:$D$281,$AM89,'F3 - Relevé du personnel'!$C$4:$C$281,'F0 - Données générales'!$K$31,'F3 - Relevé du personnel'!$B$4:$B$281,"AUSC")</f>
        <v>0</v>
      </c>
      <c r="AX89" s="182">
        <f>AR89+AS89-SUM(AU89:AW89)</f>
        <v>0</v>
      </c>
      <c r="AY89" s="197" t="str">
        <f>IF(AP89=0,"",(AX89)/AP89)</f>
        <v/>
      </c>
      <c r="AZ89" s="198" t="str">
        <f>IF(AP89=0,"",(SUMPRODUCT(($D$4:$D$253=AM89)*($C$4:$C$253='F0 - Données générales'!$K$31)*($E$4:$E$253)*($F$4:$F$253)*($B$4:$B$253="AUSC"))+SUMPRODUCT(($D$257:$D$281=AM89)*($C$257:$C$281='F0 - Données générales'!$K$31)*($B$257:$B$281="AUSC")*($E$257:$E$281)*($F$257:$F$281)))/(SUMIFS('F3 - Relevé du personnel'!$E$4:$E$281,'F3 - Relevé du personnel'!$D$4:$D$281,$AM89,'F3 - Relevé du personnel'!$C$4:$C$281,'F0 - Données générales'!$K$31,'F3 - Relevé du personnel'!$B$4:$B$281,"AUSC")))</f>
        <v/>
      </c>
      <c r="BA89" s="120"/>
      <c r="BB89" s="760" t="s">
        <v>65</v>
      </c>
      <c r="BC89" s="761"/>
      <c r="BD89" s="13" t="s">
        <v>252</v>
      </c>
      <c r="BE89" s="758" t="s">
        <v>78</v>
      </c>
      <c r="BF89" s="759"/>
      <c r="BG89" s="45">
        <f>SUMIFS('F3 - Relevé du personnel'!$E$4:$E$281,'F3 - Relevé du personnel'!$D$4:$D$281,$BD89,'F3 - Relevé du personnel'!$C$4:$C$281,'F0 - Données générales'!$K$33)</f>
        <v>0</v>
      </c>
      <c r="BH89" s="259">
        <f>SUMIFS('F3 - Relevé du personnel'!$I$4:$I$281,'F3 - Relevé du personnel'!$D$4:$D$281,$BD89,'F3 - Relevé du personnel'!$C$4:$C$281,'F0 - Données générales'!$K$33)</f>
        <v>0</v>
      </c>
      <c r="BI89" s="259">
        <f>SUMIFS('F3 - Relevé du personnel'!$M$4:$M$281,'F3 - Relevé du personnel'!$D$4:$D$281,$BD89,'F3 - Relevé du personnel'!$C$4:$C$281,'F0 - Données générales'!$K$33)</f>
        <v>0</v>
      </c>
      <c r="BJ89" s="189">
        <f t="shared" si="61"/>
        <v>0</v>
      </c>
      <c r="BK89" s="259">
        <f>SUMIFS('F3 - Relevé du personnel'!$O$4:$O$281,'F3 - Relevé du personnel'!$D$4:$D$281,$BD89,'F3 - Relevé du personnel'!$C$4:$C$281,'F0 - Données générales'!$K$33)</f>
        <v>0</v>
      </c>
      <c r="BL89" s="259">
        <f>SUMIFS('F3 - Relevé du personnel'!$P$4:$P$281,'F3 - Relevé du personnel'!$D$4:$D$281,$BD89,'F3 - Relevé du personnel'!$C$4:$C$281,'F0 - Données générales'!$K$33)</f>
        <v>0</v>
      </c>
      <c r="BM89" s="259">
        <f>SUMIFS('F3 - Relevé du personnel'!$Q$4:$Q$281,'F3 - Relevé du personnel'!$D$4:$D$281,$BD89,'F3 - Relevé du personnel'!$C$4:$C$281,'F0 - Données générales'!$K$33)</f>
        <v>0</v>
      </c>
      <c r="BN89" s="48">
        <f t="shared" si="62"/>
        <v>0</v>
      </c>
      <c r="BO89" s="187" t="str">
        <f t="shared" si="63"/>
        <v/>
      </c>
      <c r="BP89" s="188" t="str">
        <f>IF(BG89=0,"",(SUMPRODUCT(($D$4:$D$253=BD89)*($C$4:$C$253='F0 - Données générales'!$K$33)*($E$4:$E$253)*($F$4:$F$253))+SUMPRODUCT(($D$257:$D$281=BD89)*($C$257:$C$281='F0 - Données générales'!$K$33)*($E$257:$E$281)*($F$257:$F$281)))/(SUMIFS('F3 - Relevé du personnel'!$E$4:$E$281,'F3 - Relevé du personnel'!$D$4:$D$281,$BD89,'F3 - Relevé du personnel'!$C$4:$C$281,'F0 - Données générales'!$K$33)))</f>
        <v/>
      </c>
      <c r="BQ89" s="171"/>
    </row>
    <row r="90" spans="1:74" ht="15" customHeight="1" x14ac:dyDescent="0.3">
      <c r="A90" s="106">
        <v>87</v>
      </c>
      <c r="B90" s="324">
        <f>'F0 - Données générales'!$C$4</f>
        <v>7</v>
      </c>
      <c r="C90" s="106" t="s">
        <v>95</v>
      </c>
      <c r="D90" s="106"/>
      <c r="E90" s="107"/>
      <c r="F90" s="108"/>
      <c r="G90" s="109"/>
      <c r="H90" s="110">
        <f t="shared" si="47"/>
        <v>0</v>
      </c>
      <c r="I90" s="177"/>
      <c r="J90" s="118" t="str">
        <f>IF(OR(D90="",F90=""),"",(((HLOOKUP(D90,'Carrières et points'!$A$20:$AD$60,F90+2,FALSE)*'Carrières et points'!$C$7*'Carrières et points'!$C$9)+(HLOOKUP(D90,'Carrières et points'!$A$20:$AD$60,F90+2,FALSE)*'Carrières et points'!$C$13*'Carrières et points'!$C$15))*(1+'F0 - Données générales'!$I$4)+((HLOOKUP(D90,'Carrières et points'!$A$20:$AD$60,F90+2,FALSE)*'Carrières et points'!$C$7*'Carrières et points'!$C$9)+(HLOOKUP(D90,'Carrières et points'!$A$20:$AD$60,F90+2,FALSE)*'Carrières et points'!$C$13*'Carrières et points'!$C$15))/12*(1+'F0 - Données générales'!$L$13))*E90)</f>
        <v/>
      </c>
      <c r="K90" s="118" t="str">
        <f t="shared" si="48"/>
        <v/>
      </c>
      <c r="L90" s="109"/>
      <c r="M90" s="177"/>
      <c r="N90" s="118" t="str">
        <f t="shared" si="49"/>
        <v/>
      </c>
      <c r="O90" s="177"/>
      <c r="P90" s="177"/>
      <c r="Q90" s="177"/>
      <c r="R90" s="255" t="str">
        <f t="shared" si="50"/>
        <v/>
      </c>
      <c r="S90" s="120"/>
      <c r="T90" s="743"/>
      <c r="U90" s="743"/>
      <c r="V90" s="749" t="s">
        <v>167</v>
      </c>
      <c r="W90" s="749"/>
      <c r="X90" s="749"/>
      <c r="Y90" s="199">
        <f>SUM(Y89:Y89)</f>
        <v>0</v>
      </c>
      <c r="Z90" s="199">
        <f>SUM(Z89:Z89)</f>
        <v>0</v>
      </c>
      <c r="AA90" s="200">
        <f>SUM(AA89:AA89)</f>
        <v>0</v>
      </c>
      <c r="AB90" s="200">
        <f>SUM(AB89:AB89)</f>
        <v>0</v>
      </c>
      <c r="AC90" s="200">
        <f t="shared" si="51"/>
        <v>0</v>
      </c>
      <c r="AD90" s="200">
        <f>SUM(AD89:AD89)</f>
        <v>0</v>
      </c>
      <c r="AE90" s="200">
        <f>SUM(AE89:AE89)</f>
        <v>0</v>
      </c>
      <c r="AF90" s="200">
        <f>SUM(AF89:AF89)</f>
        <v>0</v>
      </c>
      <c r="AG90" s="201">
        <f t="shared" si="52"/>
        <v>0</v>
      </c>
      <c r="AH90" s="201" t="str">
        <f t="shared" si="53"/>
        <v/>
      </c>
      <c r="AI90" s="202"/>
      <c r="AJ90" s="120"/>
      <c r="AK90" s="743"/>
      <c r="AL90" s="743"/>
      <c r="AM90" s="749" t="s">
        <v>167</v>
      </c>
      <c r="AN90" s="749"/>
      <c r="AO90" s="749"/>
      <c r="AP90" s="199">
        <f>SUM(AP89:AP89)</f>
        <v>0</v>
      </c>
      <c r="AQ90" s="199">
        <f>SUM(AQ89:AQ89)</f>
        <v>0</v>
      </c>
      <c r="AR90" s="200">
        <f>SUM(AR89:AR89)</f>
        <v>0</v>
      </c>
      <c r="AS90" s="200">
        <f>SUM(AS89:AS89)</f>
        <v>0</v>
      </c>
      <c r="AT90" s="200">
        <f>(AR90+AS90)</f>
        <v>0</v>
      </c>
      <c r="AU90" s="200">
        <f>SUM(AU89:AU89)</f>
        <v>0</v>
      </c>
      <c r="AV90" s="200">
        <f>SUM(AV89:AV89)</f>
        <v>0</v>
      </c>
      <c r="AW90" s="200">
        <f>SUM(AW89:AW89)</f>
        <v>0</v>
      </c>
      <c r="AX90" s="201">
        <f>AR90+AS90-SUM(AU90:AW90)</f>
        <v>0</v>
      </c>
      <c r="AY90" s="201" t="str">
        <f t="shared" si="58"/>
        <v/>
      </c>
      <c r="AZ90" s="202"/>
      <c r="BA90" s="120"/>
      <c r="BB90" s="760" t="s">
        <v>79</v>
      </c>
      <c r="BC90" s="761"/>
      <c r="BD90" s="13" t="s">
        <v>253</v>
      </c>
      <c r="BE90" s="758" t="s">
        <v>78</v>
      </c>
      <c r="BF90" s="759"/>
      <c r="BG90" s="45">
        <f>SUMIFS('F3 - Relevé du personnel'!$E$4:$E$281,'F3 - Relevé du personnel'!$D$4:$D$281,$BD90,'F3 - Relevé du personnel'!$C$4:$C$281,'F0 - Données générales'!$K$33)</f>
        <v>0</v>
      </c>
      <c r="BH90" s="259">
        <f>SUMIFS('F3 - Relevé du personnel'!$I$4:$I$281,'F3 - Relevé du personnel'!$D$4:$D$281,$BD90,'F3 - Relevé du personnel'!$C$4:$C$281,'F0 - Données générales'!$K$33)</f>
        <v>0</v>
      </c>
      <c r="BI90" s="259">
        <f>SUMIFS('F3 - Relevé du personnel'!$M$4:$M$281,'F3 - Relevé du personnel'!$D$4:$D$281,$BD90,'F3 - Relevé du personnel'!$C$4:$C$281,'F0 - Données générales'!$K$33)</f>
        <v>0</v>
      </c>
      <c r="BJ90" s="189">
        <f t="shared" si="61"/>
        <v>0</v>
      </c>
      <c r="BK90" s="259">
        <f>SUMIFS('F3 - Relevé du personnel'!$O$4:$O$281,'F3 - Relevé du personnel'!$D$4:$D$281,$BD90,'F3 - Relevé du personnel'!$C$4:$C$281,'F0 - Données générales'!$K$33)</f>
        <v>0</v>
      </c>
      <c r="BL90" s="259">
        <f>SUMIFS('F3 - Relevé du personnel'!$P$4:$P$281,'F3 - Relevé du personnel'!$D$4:$D$281,$BD90,'F3 - Relevé du personnel'!$C$4:$C$281,'F0 - Données générales'!$K$33)</f>
        <v>0</v>
      </c>
      <c r="BM90" s="259">
        <f>SUMIFS('F3 - Relevé du personnel'!$Q$4:$Q$281,'F3 - Relevé du personnel'!$D$4:$D$281,$BD90,'F3 - Relevé du personnel'!$C$4:$C$281,'F0 - Données générales'!$K$33)</f>
        <v>0</v>
      </c>
      <c r="BN90" s="48">
        <f t="shared" si="62"/>
        <v>0</v>
      </c>
      <c r="BO90" s="187" t="str">
        <f t="shared" si="63"/>
        <v/>
      </c>
      <c r="BP90" s="188" t="str">
        <f>IF(BG90=0,"",(SUMPRODUCT(($D$4:$D$253=BD90)*($C$4:$C$253='F0 - Données générales'!$K$33)*($E$4:$E$253)*($F$4:$F$253))+SUMPRODUCT(($D$257:$D$281=BD90)*($C$257:$C$281='F0 - Données générales'!$K$33)*($E$257:$E$281)*($F$257:$F$281)))/(SUMIFS('F3 - Relevé du personnel'!$E$4:$E$281,'F3 - Relevé du personnel'!$D$4:$D$281,$BD90,'F3 - Relevé du personnel'!$C$4:$C$281,'F0 - Données générales'!$K$33)))</f>
        <v/>
      </c>
      <c r="BQ90" s="171"/>
    </row>
    <row r="91" spans="1:74" ht="15" customHeight="1" x14ac:dyDescent="0.3">
      <c r="A91" s="106">
        <v>88</v>
      </c>
      <c r="B91" s="324">
        <f>'F0 - Données générales'!$C$4</f>
        <v>7</v>
      </c>
      <c r="C91" s="106" t="s">
        <v>95</v>
      </c>
      <c r="D91" s="106"/>
      <c r="E91" s="107"/>
      <c r="F91" s="108"/>
      <c r="G91" s="109"/>
      <c r="H91" s="110">
        <f t="shared" si="47"/>
        <v>0</v>
      </c>
      <c r="I91" s="177"/>
      <c r="J91" s="118" t="str">
        <f>IF(OR(D91="",F91=""),"",(((HLOOKUP(D91,'Carrières et points'!$A$20:$AD$60,F91+2,FALSE)*'Carrières et points'!$C$7*'Carrières et points'!$C$9)+(HLOOKUP(D91,'Carrières et points'!$A$20:$AD$60,F91+2,FALSE)*'Carrières et points'!$C$13*'Carrières et points'!$C$15))*(1+'F0 - Données générales'!$I$4)+((HLOOKUP(D91,'Carrières et points'!$A$20:$AD$60,F91+2,FALSE)*'Carrières et points'!$C$7*'Carrières et points'!$C$9)+(HLOOKUP(D91,'Carrières et points'!$A$20:$AD$60,F91+2,FALSE)*'Carrières et points'!$C$13*'Carrières et points'!$C$15))/12*(1+'F0 - Données générales'!$L$13))*E91)</f>
        <v/>
      </c>
      <c r="K91" s="118" t="str">
        <f t="shared" si="48"/>
        <v/>
      </c>
      <c r="L91" s="109"/>
      <c r="M91" s="177"/>
      <c r="N91" s="118" t="str">
        <f t="shared" si="49"/>
        <v/>
      </c>
      <c r="O91" s="177"/>
      <c r="P91" s="177"/>
      <c r="Q91" s="177"/>
      <c r="R91" s="255" t="str">
        <f t="shared" si="50"/>
        <v/>
      </c>
      <c r="S91" s="120"/>
      <c r="T91" s="742" t="s">
        <v>79</v>
      </c>
      <c r="U91" s="742"/>
      <c r="V91" s="26" t="s">
        <v>96</v>
      </c>
      <c r="W91" s="741"/>
      <c r="X91" s="741"/>
      <c r="Y91" s="181">
        <f>SUMIFS('F3 - Relevé du personnel'!$E$4:$E$281,'F3 - Relevé du personnel'!$D$4:$D$281,$V91,'F3 - Relevé du personnel'!$C$4:$C$281,'F0 - Données générales'!$K$31,'F3 - Relevé du personnel'!$B$4:$B$281,"8.2")</f>
        <v>0</v>
      </c>
      <c r="Z91" s="181">
        <f>SUMIFS('F3 - Relevé du personnel'!$H$4:$H$281,'F3 - Relevé du personnel'!$D$4:$D$281,$V91,'F3 - Relevé du personnel'!$C$4:$C$281,'F0 - Données générales'!$K$31,'F3 - Relevé du personnel'!$B$4:$B$281,"8.2")</f>
        <v>0</v>
      </c>
      <c r="AA91" s="256">
        <f>SUMIFS('F3 - Relevé du personnel'!$I$4:$I$281,'F3 - Relevé du personnel'!$D$4:$D$281,$V91,'F3 - Relevé du personnel'!$C$4:$C$281,'F0 - Données générales'!$K$31,'F3 - Relevé du personnel'!$B$4:$B$281,"8.2")</f>
        <v>0</v>
      </c>
      <c r="AB91" s="256">
        <f>SUMIFS('F3 - Relevé du personnel'!$M$4:$M$281,'F3 - Relevé du personnel'!$D$4:$D$281,$V91,'F3 - Relevé du personnel'!$C$4:$C$281,'F0 - Données générales'!$K$31,'F3 - Relevé du personnel'!$B$4:$B$281,"8.2")</f>
        <v>0</v>
      </c>
      <c r="AC91" s="196">
        <f t="shared" si="51"/>
        <v>0</v>
      </c>
      <c r="AD91" s="256">
        <f>SUMIFS('F3 - Relevé du personnel'!$O$4:$O$281,'F3 - Relevé du personnel'!$D$4:$D$281,$V91,'F3 - Relevé du personnel'!$C$4:$C$281,'F0 - Données générales'!$K$31,'F3 - Relevé du personnel'!$B$4:$B$281,"8.2")</f>
        <v>0</v>
      </c>
      <c r="AE91" s="256">
        <f>SUMIFS('F3 - Relevé du personnel'!$P$4:$P$281,'F3 - Relevé du personnel'!$D$4:$D$281,$V91,'F3 - Relevé du personnel'!$C$4:$C$281,'F0 - Données générales'!$K$31,'F3 - Relevé du personnel'!$B$4:$B$281,"8.2")</f>
        <v>0</v>
      </c>
      <c r="AF91" s="256">
        <f>SUMIFS('F3 - Relevé du personnel'!$Q$4:$Q$281,'F3 - Relevé du personnel'!$D$4:$D$281,$V91,'F3 - Relevé du personnel'!$C$4:$C$281,'F0 - Données générales'!$K$31,'F3 - Relevé du personnel'!$B$4:$B$281,"8.2")</f>
        <v>0</v>
      </c>
      <c r="AG91" s="182">
        <f t="shared" si="52"/>
        <v>0</v>
      </c>
      <c r="AH91" s="197" t="str">
        <f t="shared" si="53"/>
        <v/>
      </c>
      <c r="AI91" s="198" t="str">
        <f>IF(Y91=0,"",(SUMPRODUCT(($D$4:$D$253=V91)*($C$4:$C$253='F0 - Données générales'!$K$31)*($E$4:$E$253)*($F$4:$F$253)*($B$4:$B$253="8.2"))+SUMPRODUCT(($D$257:$D$281=V91)*($C$257:$C$281='F0 - Données générales'!$K$31)*($B$257:$B$281="8.2")*($E$257:$E$281)*($F$257:$F$281)))/(SUMIFS('F3 - Relevé du personnel'!$E$4:$E$281,'F3 - Relevé du personnel'!$D$4:$D$281,$V91,'F3 - Relevé du personnel'!$C$4:$C$281,'F0 - Données générales'!$K$31,'F3 - Relevé du personnel'!$B$4:$B$281,"8.2")))</f>
        <v/>
      </c>
      <c r="AJ91" s="120"/>
      <c r="AK91" s="742" t="s">
        <v>79</v>
      </c>
      <c r="AL91" s="742"/>
      <c r="AM91" s="26" t="s">
        <v>96</v>
      </c>
      <c r="AN91" s="741"/>
      <c r="AO91" s="741"/>
      <c r="AP91" s="181">
        <f>SUMIFS('F3 - Relevé du personnel'!$E$4:$E$281,'F3 - Relevé du personnel'!$D$4:$D$281,$AM91,'F3 - Relevé du personnel'!$C$4:$C$281,'F0 - Données générales'!$K$31,'F3 - Relevé du personnel'!$B$4:$B$281,"AUSC")</f>
        <v>0</v>
      </c>
      <c r="AQ91" s="181">
        <f>SUMIFS('F3 - Relevé du personnel'!$H$4:$H$281,'F3 - Relevé du personnel'!$D$4:$D$281,$AM91,'F3 - Relevé du personnel'!$C$4:$C$281,'F0 - Données générales'!$K$31,'F3 - Relevé du personnel'!$B$4:$B$281,"AUSC")</f>
        <v>0</v>
      </c>
      <c r="AR91" s="256">
        <f>SUMIFS('F3 - Relevé du personnel'!$I$4:$I$281,'F3 - Relevé du personnel'!$D$4:$D$281,$AM91,'F3 - Relevé du personnel'!$C$4:$C$281,'F0 - Données générales'!$K$31,'F3 - Relevé du personnel'!$B$4:$B$281,"AUSC")</f>
        <v>0</v>
      </c>
      <c r="AS91" s="256">
        <f>SUMIFS('F3 - Relevé du personnel'!$M$4:$M$281,'F3 - Relevé du personnel'!$D$4:$D$281,$AM91,'F3 - Relevé du personnel'!$C$4:$C$281,'F0 - Données générales'!$K$31,'F3 - Relevé du personnel'!$B$4:$B$281,"AUSC")</f>
        <v>0</v>
      </c>
      <c r="AT91" s="196">
        <f t="shared" ref="AT91:AT100" si="64">(AR91+AS91)</f>
        <v>0</v>
      </c>
      <c r="AU91" s="256">
        <f>SUMIFS('F3 - Relevé du personnel'!$O$4:$O$281,'F3 - Relevé du personnel'!$D$4:$D$281,$AM91,'F3 - Relevé du personnel'!$C$4:$C$281,'F0 - Données générales'!$K$31,'F3 - Relevé du personnel'!$B$4:$B$281,"AUSC")</f>
        <v>0</v>
      </c>
      <c r="AV91" s="256">
        <f>SUMIFS('F3 - Relevé du personnel'!$P$4:$P$281,'F3 - Relevé du personnel'!$D$4:$D$281,$AM91,'F3 - Relevé du personnel'!$C$4:$C$281,'F0 - Données générales'!$K$31,'F3 - Relevé du personnel'!$B$4:$B$281,"AUSC")</f>
        <v>0</v>
      </c>
      <c r="AW91" s="256">
        <f>SUMIFS('F3 - Relevé du personnel'!$Q$4:$Q$281,'F3 - Relevé du personnel'!$D$4:$D$281,$AM91,'F3 - Relevé du personnel'!$C$4:$C$281,'F0 - Données générales'!$K$31,'F3 - Relevé du personnel'!$B$4:$B$281,"AUSC")</f>
        <v>0</v>
      </c>
      <c r="AX91" s="182">
        <f t="shared" ref="AX91:AX100" si="65">AR91+AS91-SUM(AU91:AW91)</f>
        <v>0</v>
      </c>
      <c r="AY91" s="197" t="str">
        <f t="shared" si="58"/>
        <v/>
      </c>
      <c r="AZ91" s="198" t="str">
        <f>IF(AP91=0,"",(SUMPRODUCT(($D$4:$D$253=AM91)*($C$4:$C$253='F0 - Données générales'!$K$31)*($E$4:$E$253)*($F$4:$F$253)*($B$4:$B$253="AUSC"))+SUMPRODUCT(($D$257:$D$281=AM91)*($C$257:$C$281='F0 - Données générales'!$K$31)*($B$257:$B$281="AUSC")*($E$257:$E$281)*($F$257:$F$281)))/(SUMIFS('F3 - Relevé du personnel'!$E$4:$E$281,'F3 - Relevé du personnel'!$D$4:$D$281,$AM91,'F3 - Relevé du personnel'!$C$4:$C$281,'F0 - Données générales'!$K$31,'F3 - Relevé du personnel'!$B$4:$B$281,"AUSC")))</f>
        <v/>
      </c>
      <c r="BA91" s="120"/>
      <c r="BB91" s="762"/>
      <c r="BC91" s="763"/>
      <c r="BD91" s="777" t="s">
        <v>165</v>
      </c>
      <c r="BE91" s="778"/>
      <c r="BF91" s="779"/>
      <c r="BG91" s="190">
        <f>SUM(BG82:BG90)</f>
        <v>0</v>
      </c>
      <c r="BH91" s="191">
        <f>SUM(BH82:BH90)</f>
        <v>0</v>
      </c>
      <c r="BI91" s="191">
        <f>SUM(BI82:BI90)</f>
        <v>0</v>
      </c>
      <c r="BJ91" s="191">
        <f t="shared" ref="BJ91:BJ111" si="66">(BH91+BI91)</f>
        <v>0</v>
      </c>
      <c r="BK91" s="191">
        <f>SUM(BK82:BK90)</f>
        <v>0</v>
      </c>
      <c r="BL91" s="191">
        <f>SUM(BL82:BL90)</f>
        <v>0</v>
      </c>
      <c r="BM91" s="191">
        <f>SUM(BM82:BM90)</f>
        <v>0</v>
      </c>
      <c r="BN91" s="192">
        <f>BH91+BI91-SUM(BK91:BM91)</f>
        <v>0</v>
      </c>
      <c r="BO91" s="192" t="str">
        <f t="shared" ref="BO91:BO112" si="67">IF(BG91=0,"",(BN91)/BG91)</f>
        <v/>
      </c>
      <c r="BP91" s="193"/>
      <c r="BQ91" s="171"/>
    </row>
    <row r="92" spans="1:74" ht="15" customHeight="1" x14ac:dyDescent="0.3">
      <c r="A92" s="106">
        <v>89</v>
      </c>
      <c r="B92" s="324">
        <f>'F0 - Données générales'!$C$4</f>
        <v>7</v>
      </c>
      <c r="C92" s="106" t="s">
        <v>95</v>
      </c>
      <c r="D92" s="106"/>
      <c r="E92" s="107"/>
      <c r="F92" s="108"/>
      <c r="G92" s="109"/>
      <c r="H92" s="110">
        <f t="shared" si="47"/>
        <v>0</v>
      </c>
      <c r="I92" s="177"/>
      <c r="J92" s="118" t="str">
        <f>IF(OR(D92="",F92=""),"",(((HLOOKUP(D92,'Carrières et points'!$A$20:$AD$60,F92+2,FALSE)*'Carrières et points'!$C$7*'Carrières et points'!$C$9)+(HLOOKUP(D92,'Carrières et points'!$A$20:$AD$60,F92+2,FALSE)*'Carrières et points'!$C$13*'Carrières et points'!$C$15))*(1+'F0 - Données générales'!$I$4)+((HLOOKUP(D92,'Carrières et points'!$A$20:$AD$60,F92+2,FALSE)*'Carrières et points'!$C$7*'Carrières et points'!$C$9)+(HLOOKUP(D92,'Carrières et points'!$A$20:$AD$60,F92+2,FALSE)*'Carrières et points'!$C$13*'Carrières et points'!$C$15))/12*(1+'F0 - Données générales'!$L$13))*E92)</f>
        <v/>
      </c>
      <c r="K92" s="118" t="str">
        <f t="shared" si="48"/>
        <v/>
      </c>
      <c r="L92" s="109"/>
      <c r="M92" s="177"/>
      <c r="N92" s="118" t="str">
        <f t="shared" si="49"/>
        <v/>
      </c>
      <c r="O92" s="177"/>
      <c r="P92" s="177"/>
      <c r="Q92" s="177"/>
      <c r="R92" s="255" t="str">
        <f t="shared" si="50"/>
        <v/>
      </c>
      <c r="S92" s="120"/>
      <c r="T92" s="742" t="s">
        <v>79</v>
      </c>
      <c r="U92" s="742"/>
      <c r="V92" s="26" t="s">
        <v>277</v>
      </c>
      <c r="W92" s="741"/>
      <c r="X92" s="741"/>
      <c r="Y92" s="181">
        <f>SUMIFS('F3 - Relevé du personnel'!$E$4:$E$281,'F3 - Relevé du personnel'!$D$4:$D$281,$V92,'F3 - Relevé du personnel'!$C$4:$C$281,'F0 - Données générales'!$K$31,'F3 - Relevé du personnel'!$B$4:$B$281,"8.2")</f>
        <v>0</v>
      </c>
      <c r="Z92" s="181">
        <f>SUMIFS('F3 - Relevé du personnel'!$H$4:$H$281,'F3 - Relevé du personnel'!$D$4:$D$281,$V92,'F3 - Relevé du personnel'!$C$4:$C$281,'F0 - Données générales'!$K$31,'F3 - Relevé du personnel'!$B$4:$B$281,"8.2")</f>
        <v>0</v>
      </c>
      <c r="AA92" s="256">
        <f>SUMIFS('F3 - Relevé du personnel'!$I$4:$I$281,'F3 - Relevé du personnel'!$D$4:$D$281,$V92,'F3 - Relevé du personnel'!$C$4:$C$281,'F0 - Données générales'!$K$31,'F3 - Relevé du personnel'!$B$4:$B$281,"8.2")</f>
        <v>0</v>
      </c>
      <c r="AB92" s="256">
        <f>SUMIFS('F3 - Relevé du personnel'!$M$4:$M$281,'F3 - Relevé du personnel'!$D$4:$D$281,$V92,'F3 - Relevé du personnel'!$C$4:$C$281,'F0 - Données générales'!$K$31,'F3 - Relevé du personnel'!$B$4:$B$281,"8.2")</f>
        <v>0</v>
      </c>
      <c r="AC92" s="196">
        <f t="shared" si="51"/>
        <v>0</v>
      </c>
      <c r="AD92" s="256">
        <f>SUMIFS('F3 - Relevé du personnel'!$O$4:$O$281,'F3 - Relevé du personnel'!$D$4:$D$281,$V92,'F3 - Relevé du personnel'!$C$4:$C$281,'F0 - Données générales'!$K$31,'F3 - Relevé du personnel'!$B$4:$B$281,"8.2")</f>
        <v>0</v>
      </c>
      <c r="AE92" s="256">
        <f>SUMIFS('F3 - Relevé du personnel'!$P$4:$P$281,'F3 - Relevé du personnel'!$D$4:$D$281,$V92,'F3 - Relevé du personnel'!$C$4:$C$281,'F0 - Données générales'!$K$31,'F3 - Relevé du personnel'!$B$4:$B$281,"8.2")</f>
        <v>0</v>
      </c>
      <c r="AF92" s="256">
        <f>SUMIFS('F3 - Relevé du personnel'!$Q$4:$Q$281,'F3 - Relevé du personnel'!$D$4:$D$281,$V92,'F3 - Relevé du personnel'!$C$4:$C$281,'F0 - Données générales'!$K$31,'F3 - Relevé du personnel'!$B$4:$B$281,"8.2")</f>
        <v>0</v>
      </c>
      <c r="AG92" s="182">
        <f t="shared" si="52"/>
        <v>0</v>
      </c>
      <c r="AH92" s="197" t="str">
        <f t="shared" si="53"/>
        <v/>
      </c>
      <c r="AI92" s="198" t="str">
        <f>IF(Y92=0,"",(SUMPRODUCT(($D$4:$D$253=V92)*($C$4:$C$253='F0 - Données générales'!$K$31)*($E$4:$E$253)*($F$4:$F$253)*($B$4:$B$253="8.2"))+SUMPRODUCT(($D$257:$D$281=V92)*($C$257:$C$281='F0 - Données générales'!$K$31)*($B$257:$B$281="8.2")*($E$257:$E$281)*($F$257:$F$281)))/(SUMIFS('F3 - Relevé du personnel'!$E$4:$E$281,'F3 - Relevé du personnel'!$D$4:$D$281,$V92,'F3 - Relevé du personnel'!$C$4:$C$281,'F0 - Données générales'!$K$31,'F3 - Relevé du personnel'!$B$4:$B$281,"8.2")))</f>
        <v/>
      </c>
      <c r="AK92" s="742" t="s">
        <v>79</v>
      </c>
      <c r="AL92" s="742"/>
      <c r="AM92" s="26" t="s">
        <v>277</v>
      </c>
      <c r="AN92" s="741"/>
      <c r="AO92" s="741"/>
      <c r="AP92" s="181">
        <f>SUMIFS('F3 - Relevé du personnel'!$E$4:$E$281,'F3 - Relevé du personnel'!$D$4:$D$281,$AM92,'F3 - Relevé du personnel'!$C$4:$C$281,'F0 - Données générales'!$K$31,'F3 - Relevé du personnel'!$B$4:$B$281,"AUSC")</f>
        <v>0</v>
      </c>
      <c r="AQ92" s="181">
        <f>SUMIFS('F3 - Relevé du personnel'!$H$4:$H$281,'F3 - Relevé du personnel'!$D$4:$D$281,$AM92,'F3 - Relevé du personnel'!$C$4:$C$281,'F0 - Données générales'!$K$31,'F3 - Relevé du personnel'!$B$4:$B$281,"AUSC")</f>
        <v>0</v>
      </c>
      <c r="AR92" s="256">
        <f>SUMIFS('F3 - Relevé du personnel'!$I$4:$I$281,'F3 - Relevé du personnel'!$D$4:$D$281,$AM92,'F3 - Relevé du personnel'!$C$4:$C$281,'F0 - Données générales'!$K$31,'F3 - Relevé du personnel'!$B$4:$B$281,"AUSC")</f>
        <v>0</v>
      </c>
      <c r="AS92" s="256">
        <f>SUMIFS('F3 - Relevé du personnel'!$M$4:$M$281,'F3 - Relevé du personnel'!$D$4:$D$281,$AM92,'F3 - Relevé du personnel'!$C$4:$C$281,'F0 - Données générales'!$K$31,'F3 - Relevé du personnel'!$B$4:$B$281,"AUSC")</f>
        <v>0</v>
      </c>
      <c r="AT92" s="196">
        <f t="shared" si="64"/>
        <v>0</v>
      </c>
      <c r="AU92" s="256">
        <f>SUMIFS('F3 - Relevé du personnel'!$O$4:$O$281,'F3 - Relevé du personnel'!$D$4:$D$281,$AM92,'F3 - Relevé du personnel'!$C$4:$C$281,'F0 - Données générales'!$K$31,'F3 - Relevé du personnel'!$B$4:$B$281,"AUSC")</f>
        <v>0</v>
      </c>
      <c r="AV92" s="256">
        <f>SUMIFS('F3 - Relevé du personnel'!$P$4:$P$281,'F3 - Relevé du personnel'!$D$4:$D$281,$AM92,'F3 - Relevé du personnel'!$C$4:$C$281,'F0 - Données générales'!$K$31,'F3 - Relevé du personnel'!$B$4:$B$281,"AUSC")</f>
        <v>0</v>
      </c>
      <c r="AW92" s="256">
        <f>SUMIFS('F3 - Relevé du personnel'!$Q$4:$Q$281,'F3 - Relevé du personnel'!$D$4:$D$281,$AM92,'F3 - Relevé du personnel'!$C$4:$C$281,'F0 - Données générales'!$K$31,'F3 - Relevé du personnel'!$B$4:$B$281,"AUSC")</f>
        <v>0</v>
      </c>
      <c r="AX92" s="182">
        <f t="shared" si="65"/>
        <v>0</v>
      </c>
      <c r="AY92" s="197" t="str">
        <f t="shared" si="58"/>
        <v/>
      </c>
      <c r="AZ92" s="198" t="str">
        <f>IF(AP92=0,"",(SUMPRODUCT(($D$4:$D$253=AM92)*($C$4:$C$253='F0 - Données générales'!$K$31)*($E$4:$E$253)*($F$4:$F$253)*($B$4:$B$253="AUSC"))+SUMPRODUCT(($D$257:$D$281=AM92)*($C$257:$C$281='F0 - Données générales'!$K$31)*($B$257:$B$281="AUSC")*($E$257:$E$281)*($F$257:$F$281)))/(SUMIFS('F3 - Relevé du personnel'!$E$4:$E$281,'F3 - Relevé du personnel'!$D$4:$D$281,$AM92,'F3 - Relevé du personnel'!$C$4:$C$281,'F0 - Données générales'!$K$31,'F3 - Relevé du personnel'!$B$4:$B$281,"AUSC")))</f>
        <v/>
      </c>
      <c r="BB92" s="760" t="s">
        <v>61</v>
      </c>
      <c r="BC92" s="761"/>
      <c r="BD92" s="13" t="s">
        <v>80</v>
      </c>
      <c r="BE92" s="758" t="s">
        <v>81</v>
      </c>
      <c r="BF92" s="759"/>
      <c r="BG92" s="45">
        <f>SUMIFS('F3 - Relevé du personnel'!$E$4:$E$281,'F3 - Relevé du personnel'!$D$4:$D$281,$BD92,'F3 - Relevé du personnel'!$C$4:$C$281,'F0 - Données générales'!$K$33)</f>
        <v>0</v>
      </c>
      <c r="BH92" s="259">
        <f>SUMIFS('F3 - Relevé du personnel'!$I$4:$I$281,'F3 - Relevé du personnel'!$D$4:$D$281,$BD92,'F3 - Relevé du personnel'!$C$4:$C$281,'F0 - Données générales'!$K$33)</f>
        <v>0</v>
      </c>
      <c r="BI92" s="259">
        <f>SUMIFS('F3 - Relevé du personnel'!$M$4:$M$281,'F3 - Relevé du personnel'!$D$4:$D$281,$BD92,'F3 - Relevé du personnel'!$C$4:$C$281,'F0 - Données générales'!$K$33)</f>
        <v>0</v>
      </c>
      <c r="BJ92" s="189">
        <f t="shared" si="66"/>
        <v>0</v>
      </c>
      <c r="BK92" s="259">
        <f>SUMIFS('F3 - Relevé du personnel'!$O$4:$O$281,'F3 - Relevé du personnel'!$D$4:$D$281,$BD92,'F3 - Relevé du personnel'!$C$4:$C$281,'F0 - Données générales'!$K$33)</f>
        <v>0</v>
      </c>
      <c r="BL92" s="259">
        <f>SUMIFS('F3 - Relevé du personnel'!$P$4:$P$281,'F3 - Relevé du personnel'!$D$4:$D$281,$BD92,'F3 - Relevé du personnel'!$C$4:$C$281,'F0 - Données générales'!$K$33)</f>
        <v>0</v>
      </c>
      <c r="BM92" s="259">
        <f>SUMIFS('F3 - Relevé du personnel'!$Q$4:$Q$281,'F3 - Relevé du personnel'!$D$4:$D$281,$BD92,'F3 - Relevé du personnel'!$C$4:$C$281,'F0 - Données générales'!$K$33)</f>
        <v>0</v>
      </c>
      <c r="BN92" s="48">
        <f t="shared" ref="BN92:BN97" si="68">BH92+BI92-SUM(BK92:BM92)</f>
        <v>0</v>
      </c>
      <c r="BO92" s="187" t="str">
        <f t="shared" si="67"/>
        <v/>
      </c>
      <c r="BP92" s="188" t="str">
        <f>IF(BG92=0,"",(SUMPRODUCT(($D$4:$D$253=BD92)*($C$4:$C$253='F0 - Données générales'!$K$33)*($E$4:$E$253)*($F$4:$F$253))+SUMPRODUCT(($D$257:$D$281=BD92)*($C$257:$C$281='F0 - Données générales'!$K$33)*($E$257:$E$281)*($F$257:$F$281)))/(SUMIFS('F3 - Relevé du personnel'!$E$4:$E$281,'F3 - Relevé du personnel'!$D$4:$D$281,$BD92,'F3 - Relevé du personnel'!$C$4:$C$281,'F0 - Données générales'!$K$33)))</f>
        <v/>
      </c>
      <c r="BQ92" s="171"/>
    </row>
    <row r="93" spans="1:74" ht="15" customHeight="1" x14ac:dyDescent="0.3">
      <c r="A93" s="106">
        <v>90</v>
      </c>
      <c r="B93" s="324">
        <f>'F0 - Données générales'!$C$4</f>
        <v>7</v>
      </c>
      <c r="C93" s="106" t="s">
        <v>95</v>
      </c>
      <c r="D93" s="106"/>
      <c r="E93" s="107"/>
      <c r="F93" s="108"/>
      <c r="G93" s="109"/>
      <c r="H93" s="110">
        <f t="shared" si="47"/>
        <v>0</v>
      </c>
      <c r="I93" s="177"/>
      <c r="J93" s="118" t="str">
        <f>IF(OR(D93="",F93=""),"",(((HLOOKUP(D93,'Carrières et points'!$A$20:$AD$60,F93+2,FALSE)*'Carrières et points'!$C$7*'Carrières et points'!$C$9)+(HLOOKUP(D93,'Carrières et points'!$A$20:$AD$60,F93+2,FALSE)*'Carrières et points'!$C$13*'Carrières et points'!$C$15))*(1+'F0 - Données générales'!$I$4)+((HLOOKUP(D93,'Carrières et points'!$A$20:$AD$60,F93+2,FALSE)*'Carrières et points'!$C$7*'Carrières et points'!$C$9)+(HLOOKUP(D93,'Carrières et points'!$A$20:$AD$60,F93+2,FALSE)*'Carrières et points'!$C$13*'Carrières et points'!$C$15))/12*(1+'F0 - Données générales'!$L$13))*E93)</f>
        <v/>
      </c>
      <c r="K93" s="118" t="str">
        <f t="shared" si="48"/>
        <v/>
      </c>
      <c r="L93" s="109"/>
      <c r="M93" s="177"/>
      <c r="N93" s="118" t="str">
        <f t="shared" si="49"/>
        <v/>
      </c>
      <c r="O93" s="177"/>
      <c r="P93" s="177"/>
      <c r="Q93" s="177"/>
      <c r="R93" s="255" t="str">
        <f t="shared" si="50"/>
        <v/>
      </c>
      <c r="S93" s="120"/>
      <c r="T93" s="742" t="s">
        <v>65</v>
      </c>
      <c r="U93" s="742"/>
      <c r="V93" s="26" t="s">
        <v>278</v>
      </c>
      <c r="W93" s="741"/>
      <c r="X93" s="741"/>
      <c r="Y93" s="181">
        <f>SUMIFS('F3 - Relevé du personnel'!$E$4:$E$281,'F3 - Relevé du personnel'!$D$4:$D$281,$V93,'F3 - Relevé du personnel'!$C$4:$C$281,'F0 - Données générales'!$K$31,'F3 - Relevé du personnel'!$B$4:$B$281,"8.2")</f>
        <v>0</v>
      </c>
      <c r="Z93" s="181">
        <f>SUMIFS('F3 - Relevé du personnel'!$H$4:$H$281,'F3 - Relevé du personnel'!$D$4:$D$281,$V93,'F3 - Relevé du personnel'!$C$4:$C$281,'F0 - Données générales'!$K$31,'F3 - Relevé du personnel'!$B$4:$B$281,"8.2")</f>
        <v>0</v>
      </c>
      <c r="AA93" s="256">
        <f>SUMIFS('F3 - Relevé du personnel'!$I$4:$I$281,'F3 - Relevé du personnel'!$D$4:$D$281,$V93,'F3 - Relevé du personnel'!$C$4:$C$281,'F0 - Données générales'!$K$31,'F3 - Relevé du personnel'!$B$4:$B$281,"8.2")</f>
        <v>0</v>
      </c>
      <c r="AB93" s="256">
        <f>SUMIFS('F3 - Relevé du personnel'!$M$4:$M$281,'F3 - Relevé du personnel'!$D$4:$D$281,$V93,'F3 - Relevé du personnel'!$C$4:$C$281,'F0 - Données générales'!$K$31,'F3 - Relevé du personnel'!$B$4:$B$281,"8.2")</f>
        <v>0</v>
      </c>
      <c r="AC93" s="196">
        <f t="shared" si="51"/>
        <v>0</v>
      </c>
      <c r="AD93" s="256">
        <f>SUMIFS('F3 - Relevé du personnel'!$O$4:$O$281,'F3 - Relevé du personnel'!$D$4:$D$281,$V93,'F3 - Relevé du personnel'!$C$4:$C$281,'F0 - Données générales'!$K$31,'F3 - Relevé du personnel'!$B$4:$B$281,"8.2")</f>
        <v>0</v>
      </c>
      <c r="AE93" s="256">
        <f>SUMIFS('F3 - Relevé du personnel'!$P$4:$P$281,'F3 - Relevé du personnel'!$D$4:$D$281,$V93,'F3 - Relevé du personnel'!$C$4:$C$281,'F0 - Données générales'!$K$31,'F3 - Relevé du personnel'!$B$4:$B$281,"8.2")</f>
        <v>0</v>
      </c>
      <c r="AF93" s="256">
        <f>SUMIFS('F3 - Relevé du personnel'!$Q$4:$Q$281,'F3 - Relevé du personnel'!$D$4:$D$281,$V93,'F3 - Relevé du personnel'!$C$4:$C$281,'F0 - Données générales'!$K$31,'F3 - Relevé du personnel'!$B$4:$B$281,"8.2")</f>
        <v>0</v>
      </c>
      <c r="AG93" s="182">
        <f t="shared" si="52"/>
        <v>0</v>
      </c>
      <c r="AH93" s="197" t="str">
        <f t="shared" si="53"/>
        <v/>
      </c>
      <c r="AI93" s="198" t="str">
        <f>IF(Y93=0,"",(SUMPRODUCT(($D$4:$D$253=V93)*($C$4:$C$253='F0 - Données générales'!$K$31)*($E$4:$E$253)*($F$4:$F$253)*($B$4:$B$253="8.2"))+SUMPRODUCT(($D$257:$D$281=V93)*($C$257:$C$281='F0 - Données générales'!$K$31)*($B$257:$B$281="8.2")*($E$257:$E$281)*($F$257:$F$281)))/(SUMIFS('F3 - Relevé du personnel'!$E$4:$E$281,'F3 - Relevé du personnel'!$D$4:$D$281,$V93,'F3 - Relevé du personnel'!$C$4:$C$281,'F0 - Données générales'!$K$31,'F3 - Relevé du personnel'!$B$4:$B$281,"8.2")))</f>
        <v/>
      </c>
      <c r="AK93" s="742" t="s">
        <v>65</v>
      </c>
      <c r="AL93" s="742"/>
      <c r="AM93" s="26" t="s">
        <v>278</v>
      </c>
      <c r="AN93" s="741"/>
      <c r="AO93" s="741"/>
      <c r="AP93" s="181">
        <f>SUMIFS('F3 - Relevé du personnel'!$E$4:$E$281,'F3 - Relevé du personnel'!$D$4:$D$281,$AM93,'F3 - Relevé du personnel'!$C$4:$C$281,'F0 - Données générales'!$K$31,'F3 - Relevé du personnel'!$B$4:$B$281,"AUSC")</f>
        <v>0</v>
      </c>
      <c r="AQ93" s="181">
        <f>SUMIFS('F3 - Relevé du personnel'!$H$4:$H$281,'F3 - Relevé du personnel'!$D$4:$D$281,$AM93,'F3 - Relevé du personnel'!$C$4:$C$281,'F0 - Données générales'!$K$31,'F3 - Relevé du personnel'!$B$4:$B$281,"AUSC")</f>
        <v>0</v>
      </c>
      <c r="AR93" s="256">
        <f>SUMIFS('F3 - Relevé du personnel'!$I$4:$I$281,'F3 - Relevé du personnel'!$D$4:$D$281,$AM93,'F3 - Relevé du personnel'!$C$4:$C$281,'F0 - Données générales'!$K$31,'F3 - Relevé du personnel'!$B$4:$B$281,"AUSC")</f>
        <v>0</v>
      </c>
      <c r="AS93" s="256">
        <f>SUMIFS('F3 - Relevé du personnel'!$M$4:$M$281,'F3 - Relevé du personnel'!$D$4:$D$281,$AM93,'F3 - Relevé du personnel'!$C$4:$C$281,'F0 - Données générales'!$K$31,'F3 - Relevé du personnel'!$B$4:$B$281,"AUSC")</f>
        <v>0</v>
      </c>
      <c r="AT93" s="196">
        <f t="shared" si="64"/>
        <v>0</v>
      </c>
      <c r="AU93" s="256">
        <f>SUMIFS('F3 - Relevé du personnel'!$O$4:$O$281,'F3 - Relevé du personnel'!$D$4:$D$281,$AM93,'F3 - Relevé du personnel'!$C$4:$C$281,'F0 - Données générales'!$K$31,'F3 - Relevé du personnel'!$B$4:$B$281,"AUSC")</f>
        <v>0</v>
      </c>
      <c r="AV93" s="256">
        <f>SUMIFS('F3 - Relevé du personnel'!$P$4:$P$281,'F3 - Relevé du personnel'!$D$4:$D$281,$AM93,'F3 - Relevé du personnel'!$C$4:$C$281,'F0 - Données générales'!$K$31,'F3 - Relevé du personnel'!$B$4:$B$281,"AUSC")</f>
        <v>0</v>
      </c>
      <c r="AW93" s="256">
        <f>SUMIFS('F3 - Relevé du personnel'!$Q$4:$Q$281,'F3 - Relevé du personnel'!$D$4:$D$281,$AM93,'F3 - Relevé du personnel'!$C$4:$C$281,'F0 - Données générales'!$K$31,'F3 - Relevé du personnel'!$B$4:$B$281,"AUSC")</f>
        <v>0</v>
      </c>
      <c r="AX93" s="182">
        <f t="shared" si="65"/>
        <v>0</v>
      </c>
      <c r="AY93" s="197" t="str">
        <f t="shared" si="58"/>
        <v/>
      </c>
      <c r="AZ93" s="198" t="str">
        <f>IF(AP93=0,"",(SUMPRODUCT(($D$4:$D$253=AM93)*($C$4:$C$253='F0 - Données générales'!$K$31)*($E$4:$E$253)*($F$4:$F$253)*($B$4:$B$253="AUSC"))+SUMPRODUCT(($D$257:$D$281=AM93)*($C$257:$C$281='F0 - Données générales'!$K$31)*($B$257:$B$281="AUSC")*($E$257:$E$281)*($F$257:$F$281)))/(SUMIFS('F3 - Relevé du personnel'!$E$4:$E$281,'F3 - Relevé du personnel'!$D$4:$D$281,$AM93,'F3 - Relevé du personnel'!$C$4:$C$281,'F0 - Données générales'!$K$31,'F3 - Relevé du personnel'!$B$4:$B$281,"AUSC")))</f>
        <v/>
      </c>
      <c r="BB93" s="760" t="s">
        <v>64</v>
      </c>
      <c r="BC93" s="761"/>
      <c r="BD93" s="13" t="s">
        <v>82</v>
      </c>
      <c r="BE93" s="758" t="s">
        <v>83</v>
      </c>
      <c r="BF93" s="759"/>
      <c r="BG93" s="45">
        <f>SUMIFS('F3 - Relevé du personnel'!$E$4:$E$281,'F3 - Relevé du personnel'!$D$4:$D$281,$BD93,'F3 - Relevé du personnel'!$C$4:$C$281,'F0 - Données générales'!$K$33)</f>
        <v>0</v>
      </c>
      <c r="BH93" s="259">
        <f>SUMIFS('F3 - Relevé du personnel'!$I$4:$I$281,'F3 - Relevé du personnel'!$D$4:$D$281,$BD93,'F3 - Relevé du personnel'!$C$4:$C$281,'F0 - Données générales'!$K$33)</f>
        <v>0</v>
      </c>
      <c r="BI93" s="259">
        <f>SUMIFS('F3 - Relevé du personnel'!$M$4:$M$281,'F3 - Relevé du personnel'!$D$4:$D$281,$BD93,'F3 - Relevé du personnel'!$C$4:$C$281,'F0 - Données générales'!$K$33)</f>
        <v>0</v>
      </c>
      <c r="BJ93" s="189">
        <f t="shared" si="66"/>
        <v>0</v>
      </c>
      <c r="BK93" s="259">
        <f>SUMIFS('F3 - Relevé du personnel'!$O$4:$O$281,'F3 - Relevé du personnel'!$D$4:$D$281,$BD93,'F3 - Relevé du personnel'!$C$4:$C$281,'F0 - Données générales'!$K$33)</f>
        <v>0</v>
      </c>
      <c r="BL93" s="259">
        <f>SUMIFS('F3 - Relevé du personnel'!$P$4:$P$281,'F3 - Relevé du personnel'!$D$4:$D$281,$BD93,'F3 - Relevé du personnel'!$C$4:$C$281,'F0 - Données générales'!$K$33)</f>
        <v>0</v>
      </c>
      <c r="BM93" s="259">
        <f>SUMIFS('F3 - Relevé du personnel'!$Q$4:$Q$281,'F3 - Relevé du personnel'!$D$4:$D$281,$BD93,'F3 - Relevé du personnel'!$C$4:$C$281,'F0 - Données générales'!$K$33)</f>
        <v>0</v>
      </c>
      <c r="BN93" s="48">
        <f t="shared" si="68"/>
        <v>0</v>
      </c>
      <c r="BO93" s="187" t="str">
        <f t="shared" si="67"/>
        <v/>
      </c>
      <c r="BP93" s="188" t="str">
        <f>IF(BG93=0,"",(SUMPRODUCT(($D$4:$D$253=BD93)*($C$4:$C$253='F0 - Données générales'!$K$33)*($E$4:$E$253)*($F$4:$F$253))+SUMPRODUCT(($D$257:$D$281=BD93)*($C$257:$C$281='F0 - Données générales'!$K$33)*($E$257:$E$281)*($F$257:$F$281)))/(SUMIFS('F3 - Relevé du personnel'!$E$4:$E$281,'F3 - Relevé du personnel'!$D$4:$D$281,$BD93,'F3 - Relevé du personnel'!$C$4:$C$281,'F0 - Données générales'!$K$33)))</f>
        <v/>
      </c>
    </row>
    <row r="94" spans="1:74" ht="15" customHeight="1" x14ac:dyDescent="0.3">
      <c r="A94" s="106">
        <v>91</v>
      </c>
      <c r="B94" s="324">
        <f>'F0 - Données générales'!$C$4</f>
        <v>7</v>
      </c>
      <c r="C94" s="106" t="s">
        <v>95</v>
      </c>
      <c r="D94" s="106"/>
      <c r="E94" s="107"/>
      <c r="F94" s="108"/>
      <c r="G94" s="109"/>
      <c r="H94" s="110">
        <f t="shared" si="47"/>
        <v>0</v>
      </c>
      <c r="I94" s="177"/>
      <c r="J94" s="118" t="str">
        <f>IF(OR(D94="",F94=""),"",(((HLOOKUP(D94,'Carrières et points'!$A$20:$AD$60,F94+2,FALSE)*'Carrières et points'!$C$7*'Carrières et points'!$C$9)+(HLOOKUP(D94,'Carrières et points'!$A$20:$AD$60,F94+2,FALSE)*'Carrières et points'!$C$13*'Carrières et points'!$C$15))*(1+'F0 - Données générales'!$I$4)+((HLOOKUP(D94,'Carrières et points'!$A$20:$AD$60,F94+2,FALSE)*'Carrières et points'!$C$7*'Carrières et points'!$C$9)+(HLOOKUP(D94,'Carrières et points'!$A$20:$AD$60,F94+2,FALSE)*'Carrières et points'!$C$13*'Carrières et points'!$C$15))/12*(1+'F0 - Données générales'!$L$13))*E94)</f>
        <v/>
      </c>
      <c r="K94" s="118" t="str">
        <f t="shared" si="48"/>
        <v/>
      </c>
      <c r="L94" s="109"/>
      <c r="M94" s="177"/>
      <c r="N94" s="118" t="str">
        <f t="shared" si="49"/>
        <v/>
      </c>
      <c r="O94" s="177"/>
      <c r="P94" s="177"/>
      <c r="Q94" s="177"/>
      <c r="R94" s="255" t="str">
        <f t="shared" si="50"/>
        <v/>
      </c>
      <c r="S94" s="120"/>
      <c r="T94" s="742" t="s">
        <v>79</v>
      </c>
      <c r="U94" s="742"/>
      <c r="V94" s="26" t="s">
        <v>279</v>
      </c>
      <c r="W94" s="741"/>
      <c r="X94" s="741"/>
      <c r="Y94" s="181">
        <f>SUMIFS('F3 - Relevé du personnel'!$E$4:$E$281,'F3 - Relevé du personnel'!$D$4:$D$281,$V94,'F3 - Relevé du personnel'!$C$4:$C$281,'F0 - Données générales'!$K$31,'F3 - Relevé du personnel'!$B$4:$B$281,"8.2")</f>
        <v>0</v>
      </c>
      <c r="Z94" s="181">
        <f>SUMIFS('F3 - Relevé du personnel'!$H$4:$H$281,'F3 - Relevé du personnel'!$D$4:$D$281,$V94,'F3 - Relevé du personnel'!$C$4:$C$281,'F0 - Données générales'!$K$31,'F3 - Relevé du personnel'!$B$4:$B$281,"8.2")</f>
        <v>0</v>
      </c>
      <c r="AA94" s="256">
        <f>SUMIFS('F3 - Relevé du personnel'!$I$4:$I$281,'F3 - Relevé du personnel'!$D$4:$D$281,$V94,'F3 - Relevé du personnel'!$C$4:$C$281,'F0 - Données générales'!$K$31,'F3 - Relevé du personnel'!$B$4:$B$281,"8.2")</f>
        <v>0</v>
      </c>
      <c r="AB94" s="256">
        <f>SUMIFS('F3 - Relevé du personnel'!$M$4:$M$281,'F3 - Relevé du personnel'!$D$4:$D$281,$V94,'F3 - Relevé du personnel'!$C$4:$C$281,'F0 - Données générales'!$K$31,'F3 - Relevé du personnel'!$B$4:$B$281,"8.2")</f>
        <v>0</v>
      </c>
      <c r="AC94" s="196">
        <f t="shared" si="51"/>
        <v>0</v>
      </c>
      <c r="AD94" s="256">
        <f>SUMIFS('F3 - Relevé du personnel'!$O$4:$O$281,'F3 - Relevé du personnel'!$D$4:$D$281,$V94,'F3 - Relevé du personnel'!$C$4:$C$281,'F0 - Données générales'!$K$31,'F3 - Relevé du personnel'!$B$4:$B$281,"8.2")</f>
        <v>0</v>
      </c>
      <c r="AE94" s="256">
        <f>SUMIFS('F3 - Relevé du personnel'!$P$4:$P$281,'F3 - Relevé du personnel'!$D$4:$D$281,$V94,'F3 - Relevé du personnel'!$C$4:$C$281,'F0 - Données générales'!$K$31,'F3 - Relevé du personnel'!$B$4:$B$281,"8.2")</f>
        <v>0</v>
      </c>
      <c r="AF94" s="256">
        <f>SUMIFS('F3 - Relevé du personnel'!$Q$4:$Q$281,'F3 - Relevé du personnel'!$D$4:$D$281,$V94,'F3 - Relevé du personnel'!$C$4:$C$281,'F0 - Données générales'!$K$31,'F3 - Relevé du personnel'!$B$4:$B$281,"8.2")</f>
        <v>0</v>
      </c>
      <c r="AG94" s="182">
        <f t="shared" si="52"/>
        <v>0</v>
      </c>
      <c r="AH94" s="197" t="str">
        <f t="shared" si="53"/>
        <v/>
      </c>
      <c r="AI94" s="198" t="str">
        <f>IF(Y94=0,"",(SUMPRODUCT(($D$4:$D$253=V94)*($C$4:$C$253='F0 - Données générales'!$K$31)*($E$4:$E$253)*($F$4:$F$253)*($B$4:$B$253="8.2"))+SUMPRODUCT(($D$257:$D$281=V94)*($C$257:$C$281='F0 - Données générales'!$K$31)*($B$257:$B$281="8.2")*($E$257:$E$281)*($F$257:$F$281)))/(SUMIFS('F3 - Relevé du personnel'!$E$4:$E$281,'F3 - Relevé du personnel'!$D$4:$D$281,$V94,'F3 - Relevé du personnel'!$C$4:$C$281,'F0 - Données générales'!$K$31,'F3 - Relevé du personnel'!$B$4:$B$281,"8.2")))</f>
        <v/>
      </c>
      <c r="AK94" s="742" t="s">
        <v>79</v>
      </c>
      <c r="AL94" s="742"/>
      <c r="AM94" s="26" t="s">
        <v>279</v>
      </c>
      <c r="AN94" s="741"/>
      <c r="AO94" s="741"/>
      <c r="AP94" s="181">
        <f>SUMIFS('F3 - Relevé du personnel'!$E$4:$E$281,'F3 - Relevé du personnel'!$D$4:$D$281,$AM94,'F3 - Relevé du personnel'!$C$4:$C$281,'F0 - Données générales'!$K$31,'F3 - Relevé du personnel'!$B$4:$B$281,"AUSC")</f>
        <v>0</v>
      </c>
      <c r="AQ94" s="181">
        <f>SUMIFS('F3 - Relevé du personnel'!$H$4:$H$281,'F3 - Relevé du personnel'!$D$4:$D$281,$AM94,'F3 - Relevé du personnel'!$C$4:$C$281,'F0 - Données générales'!$K$31,'F3 - Relevé du personnel'!$B$4:$B$281,"AUSC")</f>
        <v>0</v>
      </c>
      <c r="AR94" s="256">
        <f>SUMIFS('F3 - Relevé du personnel'!$I$4:$I$281,'F3 - Relevé du personnel'!$D$4:$D$281,$AM94,'F3 - Relevé du personnel'!$C$4:$C$281,'F0 - Données générales'!$K$31,'F3 - Relevé du personnel'!$B$4:$B$281,"AUSC")</f>
        <v>0</v>
      </c>
      <c r="AS94" s="256">
        <f>SUMIFS('F3 - Relevé du personnel'!$M$4:$M$281,'F3 - Relevé du personnel'!$D$4:$D$281,$AM94,'F3 - Relevé du personnel'!$C$4:$C$281,'F0 - Données générales'!$K$31,'F3 - Relevé du personnel'!$B$4:$B$281,"AUSC")</f>
        <v>0</v>
      </c>
      <c r="AT94" s="196">
        <f t="shared" si="64"/>
        <v>0</v>
      </c>
      <c r="AU94" s="256">
        <f>SUMIFS('F3 - Relevé du personnel'!$O$4:$O$281,'F3 - Relevé du personnel'!$D$4:$D$281,$AM94,'F3 - Relevé du personnel'!$C$4:$C$281,'F0 - Données générales'!$K$31,'F3 - Relevé du personnel'!$B$4:$B$281,"AUSC")</f>
        <v>0</v>
      </c>
      <c r="AV94" s="256">
        <f>SUMIFS('F3 - Relevé du personnel'!$P$4:$P$281,'F3 - Relevé du personnel'!$D$4:$D$281,$AM94,'F3 - Relevé du personnel'!$C$4:$C$281,'F0 - Données générales'!$K$31,'F3 - Relevé du personnel'!$B$4:$B$281,"AUSC")</f>
        <v>0</v>
      </c>
      <c r="AW94" s="256">
        <f>SUMIFS('F3 - Relevé du personnel'!$Q$4:$Q$281,'F3 - Relevé du personnel'!$D$4:$D$281,$AM94,'F3 - Relevé du personnel'!$C$4:$C$281,'F0 - Données générales'!$K$31,'F3 - Relevé du personnel'!$B$4:$B$281,"AUSC")</f>
        <v>0</v>
      </c>
      <c r="AX94" s="182">
        <f t="shared" si="65"/>
        <v>0</v>
      </c>
      <c r="AY94" s="197" t="str">
        <f t="shared" si="58"/>
        <v/>
      </c>
      <c r="AZ94" s="198" t="str">
        <f>IF(AP94=0,"",(SUMPRODUCT(($D$4:$D$253=AM94)*($C$4:$C$253='F0 - Données générales'!$K$31)*($E$4:$E$253)*($F$4:$F$253)*($B$4:$B$253="AUSC"))+SUMPRODUCT(($D$257:$D$281=AM94)*($C$257:$C$281='F0 - Données générales'!$K$31)*($B$257:$B$281="AUSC")*($E$257:$E$281)*($F$257:$F$281)))/(SUMIFS('F3 - Relevé du personnel'!$E$4:$E$281,'F3 - Relevé du personnel'!$D$4:$D$281,$AM94,'F3 - Relevé du personnel'!$C$4:$C$281,'F0 - Données générales'!$K$31,'F3 - Relevé du personnel'!$B$4:$B$281,"AUSC")))</f>
        <v/>
      </c>
      <c r="BB94" s="760" t="s">
        <v>65</v>
      </c>
      <c r="BC94" s="761"/>
      <c r="BD94" s="13" t="s">
        <v>84</v>
      </c>
      <c r="BE94" s="758" t="s">
        <v>85</v>
      </c>
      <c r="BF94" s="759"/>
      <c r="BG94" s="45">
        <f>SUMIFS('F3 - Relevé du personnel'!$E$4:$E$281,'F3 - Relevé du personnel'!$D$4:$D$281,$BD94,'F3 - Relevé du personnel'!$C$4:$C$281,'F0 - Données générales'!$K$33)</f>
        <v>0</v>
      </c>
      <c r="BH94" s="259">
        <f>SUMIFS('F3 - Relevé du personnel'!$I$4:$I$281,'F3 - Relevé du personnel'!$D$4:$D$281,$BD94,'F3 - Relevé du personnel'!$C$4:$C$281,'F0 - Données générales'!$K$33)</f>
        <v>0</v>
      </c>
      <c r="BI94" s="259">
        <f>SUMIFS('F3 - Relevé du personnel'!$M$4:$M$281,'F3 - Relevé du personnel'!$D$4:$D$281,$BD94,'F3 - Relevé du personnel'!$C$4:$C$281,'F0 - Données générales'!$K$33)</f>
        <v>0</v>
      </c>
      <c r="BJ94" s="189">
        <f t="shared" si="66"/>
        <v>0</v>
      </c>
      <c r="BK94" s="259">
        <f>SUMIFS('F3 - Relevé du personnel'!$O$4:$O$281,'F3 - Relevé du personnel'!$D$4:$D$281,$BD94,'F3 - Relevé du personnel'!$C$4:$C$281,'F0 - Données générales'!$K$33)</f>
        <v>0</v>
      </c>
      <c r="BL94" s="259">
        <f>SUMIFS('F3 - Relevé du personnel'!$P$4:$P$281,'F3 - Relevé du personnel'!$D$4:$D$281,$BD94,'F3 - Relevé du personnel'!$C$4:$C$281,'F0 - Données générales'!$K$33)</f>
        <v>0</v>
      </c>
      <c r="BM94" s="259">
        <f>SUMIFS('F3 - Relevé du personnel'!$Q$4:$Q$281,'F3 - Relevé du personnel'!$D$4:$D$281,$BD94,'F3 - Relevé du personnel'!$C$4:$C$281,'F0 - Données générales'!$K$33)</f>
        <v>0</v>
      </c>
      <c r="BN94" s="48">
        <f t="shared" si="68"/>
        <v>0</v>
      </c>
      <c r="BO94" s="187" t="str">
        <f t="shared" si="67"/>
        <v/>
      </c>
      <c r="BP94" s="188" t="str">
        <f>IF(BG94=0,"",(SUMPRODUCT(($D$4:$D$253=BD94)*($C$4:$C$253='F0 - Données générales'!$K$33)*($E$4:$E$253)*($F$4:$F$253))+SUMPRODUCT(($D$257:$D$281=BD94)*($C$257:$C$281='F0 - Données générales'!$K$33)*($E$257:$E$281)*($F$257:$F$281)))/(SUMIFS('F3 - Relevé du personnel'!$E$4:$E$281,'F3 - Relevé du personnel'!$D$4:$D$281,$BD94,'F3 - Relevé du personnel'!$C$4:$C$281,'F0 - Données générales'!$K$33)))</f>
        <v/>
      </c>
    </row>
    <row r="95" spans="1:74" ht="15" customHeight="1" x14ac:dyDescent="0.3">
      <c r="A95" s="106">
        <v>92</v>
      </c>
      <c r="B95" s="324">
        <f>'F0 - Données générales'!$C$4</f>
        <v>7</v>
      </c>
      <c r="C95" s="106" t="s">
        <v>95</v>
      </c>
      <c r="D95" s="106"/>
      <c r="E95" s="107"/>
      <c r="F95" s="108"/>
      <c r="G95" s="109"/>
      <c r="H95" s="110">
        <f t="shared" si="47"/>
        <v>0</v>
      </c>
      <c r="I95" s="177"/>
      <c r="J95" s="118" t="str">
        <f>IF(OR(D95="",F95=""),"",(((HLOOKUP(D95,'Carrières et points'!$A$20:$AD$60,F95+2,FALSE)*'Carrières et points'!$C$7*'Carrières et points'!$C$9)+(HLOOKUP(D95,'Carrières et points'!$A$20:$AD$60,F95+2,FALSE)*'Carrières et points'!$C$13*'Carrières et points'!$C$15))*(1+'F0 - Données générales'!$I$4)+((HLOOKUP(D95,'Carrières et points'!$A$20:$AD$60,F95+2,FALSE)*'Carrières et points'!$C$7*'Carrières et points'!$C$9)+(HLOOKUP(D95,'Carrières et points'!$A$20:$AD$60,F95+2,FALSE)*'Carrières et points'!$C$13*'Carrières et points'!$C$15))/12*(1+'F0 - Données générales'!$L$13))*E95)</f>
        <v/>
      </c>
      <c r="K95" s="118" t="str">
        <f t="shared" si="48"/>
        <v/>
      </c>
      <c r="L95" s="109"/>
      <c r="M95" s="177"/>
      <c r="N95" s="118" t="str">
        <f t="shared" si="49"/>
        <v/>
      </c>
      <c r="O95" s="177"/>
      <c r="P95" s="177"/>
      <c r="Q95" s="177"/>
      <c r="R95" s="255" t="str">
        <f t="shared" si="50"/>
        <v/>
      </c>
      <c r="S95" s="120"/>
      <c r="T95" s="742" t="s">
        <v>65</v>
      </c>
      <c r="U95" s="742"/>
      <c r="V95" s="26" t="s">
        <v>280</v>
      </c>
      <c r="W95" s="741"/>
      <c r="X95" s="741"/>
      <c r="Y95" s="181">
        <f>SUMIFS('F3 - Relevé du personnel'!$E$4:$E$281,'F3 - Relevé du personnel'!$D$4:$D$281,$V95,'F3 - Relevé du personnel'!$C$4:$C$281,'F0 - Données générales'!$K$31,'F3 - Relevé du personnel'!$B$4:$B$281,"8.2")</f>
        <v>0</v>
      </c>
      <c r="Z95" s="181">
        <f>SUMIFS('F3 - Relevé du personnel'!$H$4:$H$281,'F3 - Relevé du personnel'!$D$4:$D$281,$V95,'F3 - Relevé du personnel'!$C$4:$C$281,'F0 - Données générales'!$K$31,'F3 - Relevé du personnel'!$B$4:$B$281,"8.2")</f>
        <v>0</v>
      </c>
      <c r="AA95" s="256">
        <f>SUMIFS('F3 - Relevé du personnel'!$I$4:$I$281,'F3 - Relevé du personnel'!$D$4:$D$281,$V95,'F3 - Relevé du personnel'!$C$4:$C$281,'F0 - Données générales'!$K$31,'F3 - Relevé du personnel'!$B$4:$B$281,"8.2")</f>
        <v>0</v>
      </c>
      <c r="AB95" s="256">
        <f>SUMIFS('F3 - Relevé du personnel'!$M$4:$M$281,'F3 - Relevé du personnel'!$D$4:$D$281,$V95,'F3 - Relevé du personnel'!$C$4:$C$281,'F0 - Données générales'!$K$31,'F3 - Relevé du personnel'!$B$4:$B$281,"8.2")</f>
        <v>0</v>
      </c>
      <c r="AC95" s="196">
        <f t="shared" si="51"/>
        <v>0</v>
      </c>
      <c r="AD95" s="256">
        <f>SUMIFS('F3 - Relevé du personnel'!$O$4:$O$281,'F3 - Relevé du personnel'!$D$4:$D$281,$V95,'F3 - Relevé du personnel'!$C$4:$C$281,'F0 - Données générales'!$K$31,'F3 - Relevé du personnel'!$B$4:$B$281,"8.2")</f>
        <v>0</v>
      </c>
      <c r="AE95" s="256">
        <f>SUMIFS('F3 - Relevé du personnel'!$P$4:$P$281,'F3 - Relevé du personnel'!$D$4:$D$281,$V95,'F3 - Relevé du personnel'!$C$4:$C$281,'F0 - Données générales'!$K$31,'F3 - Relevé du personnel'!$B$4:$B$281,"8.2")</f>
        <v>0</v>
      </c>
      <c r="AF95" s="256">
        <f>SUMIFS('F3 - Relevé du personnel'!$Q$4:$Q$281,'F3 - Relevé du personnel'!$D$4:$D$281,$V95,'F3 - Relevé du personnel'!$C$4:$C$281,'F0 - Données générales'!$K$31,'F3 - Relevé du personnel'!$B$4:$B$281,"8.2")</f>
        <v>0</v>
      </c>
      <c r="AG95" s="182">
        <f t="shared" si="52"/>
        <v>0</v>
      </c>
      <c r="AH95" s="197" t="str">
        <f t="shared" si="53"/>
        <v/>
      </c>
      <c r="AI95" s="198" t="str">
        <f>IF(Y95=0,"",(SUMPRODUCT(($D$4:$D$253=V95)*($C$4:$C$253='F0 - Données générales'!$K$31)*($E$4:$E$253)*($F$4:$F$253)*($B$4:$B$253="8.2"))+SUMPRODUCT(($D$257:$D$281=V95)*($C$257:$C$281='F0 - Données générales'!$K$31)*($B$257:$B$281="8.2")*($E$257:$E$281)*($F$257:$F$281)))/(SUMIFS('F3 - Relevé du personnel'!$E$4:$E$281,'F3 - Relevé du personnel'!$D$4:$D$281,$V95,'F3 - Relevé du personnel'!$C$4:$C$281,'F0 - Données générales'!$K$31,'F3 - Relevé du personnel'!$B$4:$B$281,"8.2")))</f>
        <v/>
      </c>
      <c r="AK95" s="742" t="s">
        <v>65</v>
      </c>
      <c r="AL95" s="742"/>
      <c r="AM95" s="26" t="s">
        <v>280</v>
      </c>
      <c r="AN95" s="741"/>
      <c r="AO95" s="741"/>
      <c r="AP95" s="181">
        <f>SUMIFS('F3 - Relevé du personnel'!$E$4:$E$281,'F3 - Relevé du personnel'!$D$4:$D$281,$AM95,'F3 - Relevé du personnel'!$C$4:$C$281,'F0 - Données générales'!$K$31,'F3 - Relevé du personnel'!$B$4:$B$281,"AUSC")</f>
        <v>0</v>
      </c>
      <c r="AQ95" s="181">
        <f>SUMIFS('F3 - Relevé du personnel'!$H$4:$H$281,'F3 - Relevé du personnel'!$D$4:$D$281,$AM95,'F3 - Relevé du personnel'!$C$4:$C$281,'F0 - Données générales'!$K$31,'F3 - Relevé du personnel'!$B$4:$B$281,"AUSC")</f>
        <v>0</v>
      </c>
      <c r="AR95" s="256">
        <f>SUMIFS('F3 - Relevé du personnel'!$I$4:$I$281,'F3 - Relevé du personnel'!$D$4:$D$281,$AM95,'F3 - Relevé du personnel'!$C$4:$C$281,'F0 - Données générales'!$K$31,'F3 - Relevé du personnel'!$B$4:$B$281,"AUSC")</f>
        <v>0</v>
      </c>
      <c r="AS95" s="256">
        <f>SUMIFS('F3 - Relevé du personnel'!$M$4:$M$281,'F3 - Relevé du personnel'!$D$4:$D$281,$AM95,'F3 - Relevé du personnel'!$C$4:$C$281,'F0 - Données générales'!$K$31,'F3 - Relevé du personnel'!$B$4:$B$281,"AUSC")</f>
        <v>0</v>
      </c>
      <c r="AT95" s="196">
        <f t="shared" si="64"/>
        <v>0</v>
      </c>
      <c r="AU95" s="256">
        <f>SUMIFS('F3 - Relevé du personnel'!$O$4:$O$281,'F3 - Relevé du personnel'!$D$4:$D$281,$AM95,'F3 - Relevé du personnel'!$C$4:$C$281,'F0 - Données générales'!$K$31,'F3 - Relevé du personnel'!$B$4:$B$281,"AUSC")</f>
        <v>0</v>
      </c>
      <c r="AV95" s="256">
        <f>SUMIFS('F3 - Relevé du personnel'!$P$4:$P$281,'F3 - Relevé du personnel'!$D$4:$D$281,$AM95,'F3 - Relevé du personnel'!$C$4:$C$281,'F0 - Données générales'!$K$31,'F3 - Relevé du personnel'!$B$4:$B$281,"AUSC")</f>
        <v>0</v>
      </c>
      <c r="AW95" s="256">
        <f>SUMIFS('F3 - Relevé du personnel'!$Q$4:$Q$281,'F3 - Relevé du personnel'!$D$4:$D$281,$AM95,'F3 - Relevé du personnel'!$C$4:$C$281,'F0 - Données générales'!$K$31,'F3 - Relevé du personnel'!$B$4:$B$281,"AUSC")</f>
        <v>0</v>
      </c>
      <c r="AX95" s="182">
        <f t="shared" si="65"/>
        <v>0</v>
      </c>
      <c r="AY95" s="197" t="str">
        <f t="shared" si="58"/>
        <v/>
      </c>
      <c r="AZ95" s="198" t="str">
        <f>IF(AP95=0,"",(SUMPRODUCT(($D$4:$D$253=AM95)*($C$4:$C$253='F0 - Données générales'!$K$31)*($E$4:$E$253)*($F$4:$F$253)*($B$4:$B$253="AUSC"))+SUMPRODUCT(($D$257:$D$281=AM95)*($C$257:$C$281='F0 - Données générales'!$K$31)*($B$257:$B$281="AUSC")*($E$257:$E$281)*($F$257:$F$281)))/(SUMIFS('F3 - Relevé du personnel'!$E$4:$E$281,'F3 - Relevé du personnel'!$D$4:$D$281,$AM95,'F3 - Relevé du personnel'!$C$4:$C$281,'F0 - Données générales'!$K$31,'F3 - Relevé du personnel'!$B$4:$B$281,"AUSC")))</f>
        <v/>
      </c>
      <c r="BB95" s="760" t="s">
        <v>79</v>
      </c>
      <c r="BC95" s="761"/>
      <c r="BD95" s="13" t="s">
        <v>86</v>
      </c>
      <c r="BE95" s="758" t="s">
        <v>87</v>
      </c>
      <c r="BF95" s="759"/>
      <c r="BG95" s="45">
        <f>SUMIFS('F3 - Relevé du personnel'!$E$4:$E$281,'F3 - Relevé du personnel'!$D$4:$D$281,$BD95,'F3 - Relevé du personnel'!$C$4:$C$281,'F0 - Données générales'!$K$33)</f>
        <v>0</v>
      </c>
      <c r="BH95" s="259">
        <f>SUMIFS('F3 - Relevé du personnel'!$I$4:$I$281,'F3 - Relevé du personnel'!$D$4:$D$281,$BD95,'F3 - Relevé du personnel'!$C$4:$C$281,'F0 - Données générales'!$K$33)</f>
        <v>0</v>
      </c>
      <c r="BI95" s="259">
        <f>SUMIFS('F3 - Relevé du personnel'!$M$4:$M$281,'F3 - Relevé du personnel'!$D$4:$D$281,$BD95,'F3 - Relevé du personnel'!$C$4:$C$281,'F0 - Données générales'!$K$33)</f>
        <v>0</v>
      </c>
      <c r="BJ95" s="189">
        <f t="shared" si="66"/>
        <v>0</v>
      </c>
      <c r="BK95" s="259">
        <f>SUMIFS('F3 - Relevé du personnel'!$O$4:$O$281,'F3 - Relevé du personnel'!$D$4:$D$281,$BD95,'F3 - Relevé du personnel'!$C$4:$C$281,'F0 - Données générales'!$K$33)</f>
        <v>0</v>
      </c>
      <c r="BL95" s="259">
        <f>SUMIFS('F3 - Relevé du personnel'!$P$4:$P$281,'F3 - Relevé du personnel'!$D$4:$D$281,$BD95,'F3 - Relevé du personnel'!$C$4:$C$281,'F0 - Données générales'!$K$33)</f>
        <v>0</v>
      </c>
      <c r="BM95" s="259">
        <f>SUMIFS('F3 - Relevé du personnel'!$Q$4:$Q$281,'F3 - Relevé du personnel'!$D$4:$D$281,$BD95,'F3 - Relevé du personnel'!$C$4:$C$281,'F0 - Données générales'!$K$33)</f>
        <v>0</v>
      </c>
      <c r="BN95" s="48">
        <f t="shared" si="68"/>
        <v>0</v>
      </c>
      <c r="BO95" s="187" t="str">
        <f t="shared" si="67"/>
        <v/>
      </c>
      <c r="BP95" s="188" t="str">
        <f>IF(BG95=0,"",(SUMPRODUCT(($D$4:$D$253=BD95)*($C$4:$C$253='F0 - Données générales'!$K$33)*($E$4:$E$253)*($F$4:$F$253))+SUMPRODUCT(($D$257:$D$281=BD95)*($C$257:$C$281='F0 - Données générales'!$K$33)*($E$257:$E$281)*($F$257:$F$281)))/(SUMIFS('F3 - Relevé du personnel'!$E$4:$E$281,'F3 - Relevé du personnel'!$D$4:$D$281,$BD95,'F3 - Relevé du personnel'!$C$4:$C$281,'F0 - Données générales'!$K$33)))</f>
        <v/>
      </c>
    </row>
    <row r="96" spans="1:74" ht="15" customHeight="1" x14ac:dyDescent="0.3">
      <c r="A96" s="106">
        <v>93</v>
      </c>
      <c r="B96" s="324">
        <f>'F0 - Données générales'!$C$4</f>
        <v>7</v>
      </c>
      <c r="C96" s="106" t="s">
        <v>95</v>
      </c>
      <c r="D96" s="106"/>
      <c r="E96" s="107"/>
      <c r="F96" s="108"/>
      <c r="G96" s="109"/>
      <c r="H96" s="110">
        <f t="shared" si="47"/>
        <v>0</v>
      </c>
      <c r="I96" s="177"/>
      <c r="J96" s="118" t="str">
        <f>IF(OR(D96="",F96=""),"",(((HLOOKUP(D96,'Carrières et points'!$A$20:$AD$60,F96+2,FALSE)*'Carrières et points'!$C$7*'Carrières et points'!$C$9)+(HLOOKUP(D96,'Carrières et points'!$A$20:$AD$60,F96+2,FALSE)*'Carrières et points'!$C$13*'Carrières et points'!$C$15))*(1+'F0 - Données générales'!$I$4)+((HLOOKUP(D96,'Carrières et points'!$A$20:$AD$60,F96+2,FALSE)*'Carrières et points'!$C$7*'Carrières et points'!$C$9)+(HLOOKUP(D96,'Carrières et points'!$A$20:$AD$60,F96+2,FALSE)*'Carrières et points'!$C$13*'Carrières et points'!$C$15))/12*(1+'F0 - Données générales'!$L$13))*E96)</f>
        <v/>
      </c>
      <c r="K96" s="118" t="str">
        <f t="shared" si="48"/>
        <v/>
      </c>
      <c r="L96" s="109"/>
      <c r="M96" s="177"/>
      <c r="N96" s="118" t="str">
        <f t="shared" si="49"/>
        <v/>
      </c>
      <c r="O96" s="177"/>
      <c r="P96" s="177"/>
      <c r="Q96" s="177"/>
      <c r="R96" s="255" t="str">
        <f t="shared" si="50"/>
        <v/>
      </c>
      <c r="S96" s="120"/>
      <c r="T96" s="742" t="s">
        <v>64</v>
      </c>
      <c r="U96" s="742"/>
      <c r="V96" s="26" t="s">
        <v>97</v>
      </c>
      <c r="W96" s="741"/>
      <c r="X96" s="741"/>
      <c r="Y96" s="181">
        <f>SUMIFS('F3 - Relevé du personnel'!$E$4:$E$281,'F3 - Relevé du personnel'!$D$4:$D$281,$V96,'F3 - Relevé du personnel'!$C$4:$C$281,'F0 - Données générales'!$K$31,'F3 - Relevé du personnel'!$B$4:$B$281,"8.2")</f>
        <v>0</v>
      </c>
      <c r="Z96" s="181">
        <f>SUMIFS('F3 - Relevé du personnel'!$H$4:$H$281,'F3 - Relevé du personnel'!$D$4:$D$281,$V96,'F3 - Relevé du personnel'!$C$4:$C$281,'F0 - Données générales'!$K$31,'F3 - Relevé du personnel'!$B$4:$B$281,"8.2")</f>
        <v>0</v>
      </c>
      <c r="AA96" s="256">
        <f>SUMIFS('F3 - Relevé du personnel'!$I$4:$I$281,'F3 - Relevé du personnel'!$D$4:$D$281,$V96,'F3 - Relevé du personnel'!$C$4:$C$281,'F0 - Données générales'!$K$31,'F3 - Relevé du personnel'!$B$4:$B$281,"8.2")</f>
        <v>0</v>
      </c>
      <c r="AB96" s="256">
        <f>SUMIFS('F3 - Relevé du personnel'!$M$4:$M$281,'F3 - Relevé du personnel'!$D$4:$D$281,$V96,'F3 - Relevé du personnel'!$C$4:$C$281,'F0 - Données générales'!$K$31,'F3 - Relevé du personnel'!$B$4:$B$281,"8.2")</f>
        <v>0</v>
      </c>
      <c r="AC96" s="196">
        <f t="shared" si="51"/>
        <v>0</v>
      </c>
      <c r="AD96" s="256">
        <f>SUMIFS('F3 - Relevé du personnel'!$O$4:$O$281,'F3 - Relevé du personnel'!$D$4:$D$281,$V96,'F3 - Relevé du personnel'!$C$4:$C$281,'F0 - Données générales'!$K$31,'F3 - Relevé du personnel'!$B$4:$B$281,"8.2")</f>
        <v>0</v>
      </c>
      <c r="AE96" s="256">
        <f>SUMIFS('F3 - Relevé du personnel'!$P$4:$P$281,'F3 - Relevé du personnel'!$D$4:$D$281,$V96,'F3 - Relevé du personnel'!$C$4:$C$281,'F0 - Données générales'!$K$31,'F3 - Relevé du personnel'!$B$4:$B$281,"8.2")</f>
        <v>0</v>
      </c>
      <c r="AF96" s="256">
        <f>SUMIFS('F3 - Relevé du personnel'!$Q$4:$Q$281,'F3 - Relevé du personnel'!$D$4:$D$281,$V96,'F3 - Relevé du personnel'!$C$4:$C$281,'F0 - Données générales'!$K$31,'F3 - Relevé du personnel'!$B$4:$B$281,"8.2")</f>
        <v>0</v>
      </c>
      <c r="AG96" s="182">
        <f t="shared" si="52"/>
        <v>0</v>
      </c>
      <c r="AH96" s="197" t="str">
        <f t="shared" si="53"/>
        <v/>
      </c>
      <c r="AI96" s="198" t="str">
        <f>IF(Y96=0,"",(SUMPRODUCT(($D$4:$D$253=V96)*($C$4:$C$253='F0 - Données générales'!$K$31)*($E$4:$E$253)*($F$4:$F$253)*($B$4:$B$253="8.2"))+SUMPRODUCT(($D$257:$D$281=V96)*($C$257:$C$281='F0 - Données générales'!$K$31)*($B$257:$B$281="8.2")*($E$257:$E$281)*($F$257:$F$281)))/(SUMIFS('F3 - Relevé du personnel'!$E$4:$E$281,'F3 - Relevé du personnel'!$D$4:$D$281,$V96,'F3 - Relevé du personnel'!$C$4:$C$281,'F0 - Données générales'!$K$31,'F3 - Relevé du personnel'!$B$4:$B$281,"8.2")))</f>
        <v/>
      </c>
      <c r="AK96" s="742" t="s">
        <v>64</v>
      </c>
      <c r="AL96" s="742"/>
      <c r="AM96" s="26" t="s">
        <v>97</v>
      </c>
      <c r="AN96" s="741"/>
      <c r="AO96" s="741"/>
      <c r="AP96" s="181">
        <f>SUMIFS('F3 - Relevé du personnel'!$E$4:$E$281,'F3 - Relevé du personnel'!$D$4:$D$281,$AM96,'F3 - Relevé du personnel'!$C$4:$C$281,'F0 - Données générales'!$K$31,'F3 - Relevé du personnel'!$B$4:$B$281,"AUSC")</f>
        <v>0</v>
      </c>
      <c r="AQ96" s="181">
        <f>SUMIFS('F3 - Relevé du personnel'!$H$4:$H$281,'F3 - Relevé du personnel'!$D$4:$D$281,$AM96,'F3 - Relevé du personnel'!$C$4:$C$281,'F0 - Données générales'!$K$31,'F3 - Relevé du personnel'!$B$4:$B$281,"AUSC")</f>
        <v>0</v>
      </c>
      <c r="AR96" s="256">
        <f>SUMIFS('F3 - Relevé du personnel'!$I$4:$I$281,'F3 - Relevé du personnel'!$D$4:$D$281,$AM96,'F3 - Relevé du personnel'!$C$4:$C$281,'F0 - Données générales'!$K$31,'F3 - Relevé du personnel'!$B$4:$B$281,"AUSC")</f>
        <v>0</v>
      </c>
      <c r="AS96" s="256">
        <f>SUMIFS('F3 - Relevé du personnel'!$M$4:$M$281,'F3 - Relevé du personnel'!$D$4:$D$281,$AM96,'F3 - Relevé du personnel'!$C$4:$C$281,'F0 - Données générales'!$K$31,'F3 - Relevé du personnel'!$B$4:$B$281,"AUSC")</f>
        <v>0</v>
      </c>
      <c r="AT96" s="196">
        <f t="shared" si="64"/>
        <v>0</v>
      </c>
      <c r="AU96" s="256">
        <f>SUMIFS('F3 - Relevé du personnel'!$O$4:$O$281,'F3 - Relevé du personnel'!$D$4:$D$281,$AM96,'F3 - Relevé du personnel'!$C$4:$C$281,'F0 - Données générales'!$K$31,'F3 - Relevé du personnel'!$B$4:$B$281,"AUSC")</f>
        <v>0</v>
      </c>
      <c r="AV96" s="256">
        <f>SUMIFS('F3 - Relevé du personnel'!$P$4:$P$281,'F3 - Relevé du personnel'!$D$4:$D$281,$AM96,'F3 - Relevé du personnel'!$C$4:$C$281,'F0 - Données générales'!$K$31,'F3 - Relevé du personnel'!$B$4:$B$281,"AUSC")</f>
        <v>0</v>
      </c>
      <c r="AW96" s="256">
        <f>SUMIFS('F3 - Relevé du personnel'!$Q$4:$Q$281,'F3 - Relevé du personnel'!$D$4:$D$281,$AM96,'F3 - Relevé du personnel'!$C$4:$C$281,'F0 - Données générales'!$K$31,'F3 - Relevé du personnel'!$B$4:$B$281,"AUSC")</f>
        <v>0</v>
      </c>
      <c r="AX96" s="182">
        <f t="shared" si="65"/>
        <v>0</v>
      </c>
      <c r="AY96" s="197" t="str">
        <f t="shared" si="58"/>
        <v/>
      </c>
      <c r="AZ96" s="198" t="str">
        <f>IF(AP96=0,"",(SUMPRODUCT(($D$4:$D$253=AM96)*($C$4:$C$253='F0 - Données générales'!$K$31)*($E$4:$E$253)*($F$4:$F$253)*($B$4:$B$253="AUSC"))+SUMPRODUCT(($D$257:$D$281=AM96)*($C$257:$C$281='F0 - Données générales'!$K$31)*($B$257:$B$281="AUSC")*($E$257:$E$281)*($F$257:$F$281)))/(SUMIFS('F3 - Relevé du personnel'!$E$4:$E$281,'F3 - Relevé du personnel'!$D$4:$D$281,$AM96,'F3 - Relevé du personnel'!$C$4:$C$281,'F0 - Données générales'!$K$31,'F3 - Relevé du personnel'!$B$4:$B$281,"AUSC")))</f>
        <v/>
      </c>
      <c r="BB96" s="760" t="s">
        <v>79</v>
      </c>
      <c r="BC96" s="761"/>
      <c r="BD96" s="13" t="s">
        <v>88</v>
      </c>
      <c r="BE96" s="758" t="s">
        <v>89</v>
      </c>
      <c r="BF96" s="759"/>
      <c r="BG96" s="45">
        <f>SUMIFS('F3 - Relevé du personnel'!$E$4:$E$281,'F3 - Relevé du personnel'!$D$4:$D$281,$BD96,'F3 - Relevé du personnel'!$C$4:$C$281,'F0 - Données générales'!$K$33)</f>
        <v>0</v>
      </c>
      <c r="BH96" s="259">
        <f>SUMIFS('F3 - Relevé du personnel'!$I$4:$I$281,'F3 - Relevé du personnel'!$D$4:$D$281,$BD96,'F3 - Relevé du personnel'!$C$4:$C$281,'F0 - Données générales'!$K$33)</f>
        <v>0</v>
      </c>
      <c r="BI96" s="259">
        <f>SUMIFS('F3 - Relevé du personnel'!$M$4:$M$281,'F3 - Relevé du personnel'!$D$4:$D$281,$BD96,'F3 - Relevé du personnel'!$C$4:$C$281,'F0 - Données générales'!$K$33)</f>
        <v>0</v>
      </c>
      <c r="BJ96" s="189">
        <f t="shared" si="66"/>
        <v>0</v>
      </c>
      <c r="BK96" s="259">
        <f>SUMIFS('F3 - Relevé du personnel'!$O$4:$O$281,'F3 - Relevé du personnel'!$D$4:$D$281,$BD96,'F3 - Relevé du personnel'!$C$4:$C$281,'F0 - Données générales'!$K$33)</f>
        <v>0</v>
      </c>
      <c r="BL96" s="259">
        <f>SUMIFS('F3 - Relevé du personnel'!$P$4:$P$281,'F3 - Relevé du personnel'!$D$4:$D$281,$BD96,'F3 - Relevé du personnel'!$C$4:$C$281,'F0 - Données générales'!$K$33)</f>
        <v>0</v>
      </c>
      <c r="BM96" s="259">
        <f>SUMIFS('F3 - Relevé du personnel'!$Q$4:$Q$281,'F3 - Relevé du personnel'!$D$4:$D$281,$BD96,'F3 - Relevé du personnel'!$C$4:$C$281,'F0 - Données générales'!$K$33)</f>
        <v>0</v>
      </c>
      <c r="BN96" s="48">
        <f t="shared" si="68"/>
        <v>0</v>
      </c>
      <c r="BO96" s="187" t="str">
        <f t="shared" si="67"/>
        <v/>
      </c>
      <c r="BP96" s="188" t="str">
        <f>IF(BG96=0,"",(SUMPRODUCT(($D$4:$D$253=BD96)*($C$4:$C$253='F0 - Données générales'!$K$33)*($E$4:$E$253)*($F$4:$F$253))+SUMPRODUCT(($D$257:$D$281=BD96)*($C$257:$C$281='F0 - Données générales'!$K$33)*($E$257:$E$281)*($F$257:$F$281)))/(SUMIFS('F3 - Relevé du personnel'!$E$4:$E$281,'F3 - Relevé du personnel'!$D$4:$D$281,$BD96,'F3 - Relevé du personnel'!$C$4:$C$281,'F0 - Données générales'!$K$33)))</f>
        <v/>
      </c>
      <c r="BS96" s="63"/>
      <c r="BT96" s="63"/>
      <c r="BU96" s="63"/>
      <c r="BV96" s="132"/>
    </row>
    <row r="97" spans="1:74" ht="15" customHeight="1" x14ac:dyDescent="0.3">
      <c r="A97" s="106">
        <v>94</v>
      </c>
      <c r="B97" s="324">
        <f>'F0 - Données générales'!$C$4</f>
        <v>7</v>
      </c>
      <c r="C97" s="106" t="s">
        <v>95</v>
      </c>
      <c r="D97" s="106"/>
      <c r="E97" s="107"/>
      <c r="F97" s="108"/>
      <c r="G97" s="109"/>
      <c r="H97" s="110">
        <f t="shared" si="47"/>
        <v>0</v>
      </c>
      <c r="I97" s="177"/>
      <c r="J97" s="118" t="str">
        <f>IF(OR(D97="",F97=""),"",(((HLOOKUP(D97,'Carrières et points'!$A$20:$AD$60,F97+2,FALSE)*'Carrières et points'!$C$7*'Carrières et points'!$C$9)+(HLOOKUP(D97,'Carrières et points'!$A$20:$AD$60,F97+2,FALSE)*'Carrières et points'!$C$13*'Carrières et points'!$C$15))*(1+'F0 - Données générales'!$I$4)+((HLOOKUP(D97,'Carrières et points'!$A$20:$AD$60,F97+2,FALSE)*'Carrières et points'!$C$7*'Carrières et points'!$C$9)+(HLOOKUP(D97,'Carrières et points'!$A$20:$AD$60,F97+2,FALSE)*'Carrières et points'!$C$13*'Carrières et points'!$C$15))/12*(1+'F0 - Données générales'!$L$13))*E97)</f>
        <v/>
      </c>
      <c r="K97" s="118" t="str">
        <f t="shared" si="48"/>
        <v/>
      </c>
      <c r="L97" s="109"/>
      <c r="M97" s="177"/>
      <c r="N97" s="118" t="str">
        <f t="shared" si="49"/>
        <v/>
      </c>
      <c r="O97" s="177"/>
      <c r="P97" s="177"/>
      <c r="Q97" s="177"/>
      <c r="R97" s="255" t="str">
        <f t="shared" si="50"/>
        <v/>
      </c>
      <c r="S97" s="120"/>
      <c r="T97" s="742" t="s">
        <v>61</v>
      </c>
      <c r="U97" s="742"/>
      <c r="V97" s="26" t="s">
        <v>98</v>
      </c>
      <c r="W97" s="741"/>
      <c r="X97" s="741"/>
      <c r="Y97" s="181">
        <f>SUMIFS('F3 - Relevé du personnel'!$E$4:$E$281,'F3 - Relevé du personnel'!$D$4:$D$281,$V97,'F3 - Relevé du personnel'!$C$4:$C$281,'F0 - Données générales'!$K$31,'F3 - Relevé du personnel'!$B$4:$B$281,"8.2")</f>
        <v>0</v>
      </c>
      <c r="Z97" s="181">
        <f>SUMIFS('F3 - Relevé du personnel'!$H$4:$H$281,'F3 - Relevé du personnel'!$D$4:$D$281,$V97,'F3 - Relevé du personnel'!$C$4:$C$281,'F0 - Données générales'!$K$31,'F3 - Relevé du personnel'!$B$4:$B$281,"8.2")</f>
        <v>0</v>
      </c>
      <c r="AA97" s="256">
        <f>SUMIFS('F3 - Relevé du personnel'!$I$4:$I$281,'F3 - Relevé du personnel'!$D$4:$D$281,$V97,'F3 - Relevé du personnel'!$C$4:$C$281,'F0 - Données générales'!$K$31,'F3 - Relevé du personnel'!$B$4:$B$281,"8.2")</f>
        <v>0</v>
      </c>
      <c r="AB97" s="256">
        <f>SUMIFS('F3 - Relevé du personnel'!$M$4:$M$281,'F3 - Relevé du personnel'!$D$4:$D$281,$V97,'F3 - Relevé du personnel'!$C$4:$C$281,'F0 - Données générales'!$K$31,'F3 - Relevé du personnel'!$B$4:$B$281,"8.2")</f>
        <v>0</v>
      </c>
      <c r="AC97" s="196">
        <f t="shared" si="51"/>
        <v>0</v>
      </c>
      <c r="AD97" s="256">
        <f>SUMIFS('F3 - Relevé du personnel'!$O$4:$O$281,'F3 - Relevé du personnel'!$D$4:$D$281,$V97,'F3 - Relevé du personnel'!$C$4:$C$281,'F0 - Données générales'!$K$31,'F3 - Relevé du personnel'!$B$4:$B$281,"8.2")</f>
        <v>0</v>
      </c>
      <c r="AE97" s="256">
        <f>SUMIFS('F3 - Relevé du personnel'!$P$4:$P$281,'F3 - Relevé du personnel'!$D$4:$D$281,$V97,'F3 - Relevé du personnel'!$C$4:$C$281,'F0 - Données générales'!$K$31,'F3 - Relevé du personnel'!$B$4:$B$281,"8.2")</f>
        <v>0</v>
      </c>
      <c r="AF97" s="256">
        <f>SUMIFS('F3 - Relevé du personnel'!$Q$4:$Q$281,'F3 - Relevé du personnel'!$D$4:$D$281,$V97,'F3 - Relevé du personnel'!$C$4:$C$281,'F0 - Données générales'!$K$31,'F3 - Relevé du personnel'!$B$4:$B$281,"8.2")</f>
        <v>0</v>
      </c>
      <c r="AG97" s="182">
        <f t="shared" si="52"/>
        <v>0</v>
      </c>
      <c r="AH97" s="197" t="str">
        <f t="shared" si="53"/>
        <v/>
      </c>
      <c r="AI97" s="198" t="str">
        <f>IF(Y97=0,"",(SUMPRODUCT(($D$4:$D$253=V97)*($C$4:$C$253='F0 - Données générales'!$K$31)*($E$4:$E$253)*($F$4:$F$253)*($B$4:$B$253="8.2"))+SUMPRODUCT(($D$257:$D$281=V97)*($C$257:$C$281='F0 - Données générales'!$K$31)*($B$257:$B$281="8.2")*($E$257:$E$281)*($F$257:$F$281)))/(SUMIFS('F3 - Relevé du personnel'!$E$4:$E$281,'F3 - Relevé du personnel'!$D$4:$D$281,$V97,'F3 - Relevé du personnel'!$C$4:$C$281,'F0 - Données générales'!$K$31,'F3 - Relevé du personnel'!$B$4:$B$281,"8.2")))</f>
        <v/>
      </c>
      <c r="AK97" s="742" t="s">
        <v>61</v>
      </c>
      <c r="AL97" s="742"/>
      <c r="AM97" s="26" t="s">
        <v>98</v>
      </c>
      <c r="AN97" s="741"/>
      <c r="AO97" s="741"/>
      <c r="AP97" s="181">
        <f>SUMIFS('F3 - Relevé du personnel'!$E$4:$E$281,'F3 - Relevé du personnel'!$D$4:$D$281,$AM97,'F3 - Relevé du personnel'!$C$4:$C$281,'F0 - Données générales'!$K$31,'F3 - Relevé du personnel'!$B$4:$B$281,"AUSC")</f>
        <v>0</v>
      </c>
      <c r="AQ97" s="181">
        <f>SUMIFS('F3 - Relevé du personnel'!$H$4:$H$281,'F3 - Relevé du personnel'!$D$4:$D$281,$AM97,'F3 - Relevé du personnel'!$C$4:$C$281,'F0 - Données générales'!$K$31,'F3 - Relevé du personnel'!$B$4:$B$281,"AUSC")</f>
        <v>0</v>
      </c>
      <c r="AR97" s="256">
        <f>SUMIFS('F3 - Relevé du personnel'!$I$4:$I$281,'F3 - Relevé du personnel'!$D$4:$D$281,$AM97,'F3 - Relevé du personnel'!$C$4:$C$281,'F0 - Données générales'!$K$31,'F3 - Relevé du personnel'!$B$4:$B$281,"AUSC")</f>
        <v>0</v>
      </c>
      <c r="AS97" s="256">
        <f>SUMIFS('F3 - Relevé du personnel'!$M$4:$M$281,'F3 - Relevé du personnel'!$D$4:$D$281,$AM97,'F3 - Relevé du personnel'!$C$4:$C$281,'F0 - Données générales'!$K$31,'F3 - Relevé du personnel'!$B$4:$B$281,"AUSC")</f>
        <v>0</v>
      </c>
      <c r="AT97" s="196">
        <f t="shared" si="64"/>
        <v>0</v>
      </c>
      <c r="AU97" s="256">
        <f>SUMIFS('F3 - Relevé du personnel'!$O$4:$O$281,'F3 - Relevé du personnel'!$D$4:$D$281,$AM97,'F3 - Relevé du personnel'!$C$4:$C$281,'F0 - Données générales'!$K$31,'F3 - Relevé du personnel'!$B$4:$B$281,"AUSC")</f>
        <v>0</v>
      </c>
      <c r="AV97" s="256">
        <f>SUMIFS('F3 - Relevé du personnel'!$P$4:$P$281,'F3 - Relevé du personnel'!$D$4:$D$281,$AM97,'F3 - Relevé du personnel'!$C$4:$C$281,'F0 - Données générales'!$K$31,'F3 - Relevé du personnel'!$B$4:$B$281,"AUSC")</f>
        <v>0</v>
      </c>
      <c r="AW97" s="256">
        <f>SUMIFS('F3 - Relevé du personnel'!$Q$4:$Q$281,'F3 - Relevé du personnel'!$D$4:$D$281,$AM97,'F3 - Relevé du personnel'!$C$4:$C$281,'F0 - Données générales'!$K$31,'F3 - Relevé du personnel'!$B$4:$B$281,"AUSC")</f>
        <v>0</v>
      </c>
      <c r="AX97" s="182">
        <f t="shared" si="65"/>
        <v>0</v>
      </c>
      <c r="AY97" s="197" t="str">
        <f t="shared" si="58"/>
        <v/>
      </c>
      <c r="AZ97" s="198" t="str">
        <f>IF(AP97=0,"",(SUMPRODUCT(($D$4:$D$253=AM97)*($C$4:$C$253='F0 - Données générales'!$K$31)*($E$4:$E$253)*($F$4:$F$253)*($B$4:$B$253="AUSC"))+SUMPRODUCT(($D$257:$D$281=AM97)*($C$257:$C$281='F0 - Données générales'!$K$31)*($B$257:$B$281="AUSC")*($E$257:$E$281)*($F$257:$F$281)))/(SUMIFS('F3 - Relevé du personnel'!$E$4:$E$281,'F3 - Relevé du personnel'!$D$4:$D$281,$AM97,'F3 - Relevé du personnel'!$C$4:$C$281,'F0 - Données générales'!$K$31,'F3 - Relevé du personnel'!$B$4:$B$281,"AUSC")))</f>
        <v/>
      </c>
      <c r="BB97" s="760" t="s">
        <v>79</v>
      </c>
      <c r="BC97" s="761"/>
      <c r="BD97" s="13" t="s">
        <v>90</v>
      </c>
      <c r="BE97" s="758" t="s">
        <v>91</v>
      </c>
      <c r="BF97" s="759"/>
      <c r="BG97" s="45">
        <f>SUMIFS('F3 - Relevé du personnel'!$E$4:$E$281,'F3 - Relevé du personnel'!$D$4:$D$281,$BD97,'F3 - Relevé du personnel'!$C$4:$C$281,'F0 - Données générales'!$K$33)</f>
        <v>0</v>
      </c>
      <c r="BH97" s="259">
        <f>SUMIFS('F3 - Relevé du personnel'!$I$4:$I$281,'F3 - Relevé du personnel'!$D$4:$D$281,$BD97,'F3 - Relevé du personnel'!$C$4:$C$281,'F0 - Données générales'!$K$33)</f>
        <v>0</v>
      </c>
      <c r="BI97" s="259">
        <f>SUMIFS('F3 - Relevé du personnel'!$M$4:$M$281,'F3 - Relevé du personnel'!$D$4:$D$281,$BD97,'F3 - Relevé du personnel'!$C$4:$C$281,'F0 - Données générales'!$K$33)</f>
        <v>0</v>
      </c>
      <c r="BJ97" s="189">
        <f t="shared" si="66"/>
        <v>0</v>
      </c>
      <c r="BK97" s="259">
        <f>SUMIFS('F3 - Relevé du personnel'!$O$4:$O$281,'F3 - Relevé du personnel'!$D$4:$D$281,$BD97,'F3 - Relevé du personnel'!$C$4:$C$281,'F0 - Données générales'!$K$33)</f>
        <v>0</v>
      </c>
      <c r="BL97" s="259">
        <f>SUMIFS('F3 - Relevé du personnel'!$P$4:$P$281,'F3 - Relevé du personnel'!$D$4:$D$281,$BD97,'F3 - Relevé du personnel'!$C$4:$C$281,'F0 - Données générales'!$K$33)</f>
        <v>0</v>
      </c>
      <c r="BM97" s="259">
        <f>SUMIFS('F3 - Relevé du personnel'!$Q$4:$Q$281,'F3 - Relevé du personnel'!$D$4:$D$281,$BD97,'F3 - Relevé du personnel'!$C$4:$C$281,'F0 - Données générales'!$K$33)</f>
        <v>0</v>
      </c>
      <c r="BN97" s="48">
        <f t="shared" si="68"/>
        <v>0</v>
      </c>
      <c r="BO97" s="187" t="str">
        <f t="shared" si="67"/>
        <v/>
      </c>
      <c r="BP97" s="188" t="str">
        <f>IF(BG97=0,"",(SUMPRODUCT(($D$4:$D$253=BD97)*($C$4:$C$253='F0 - Données générales'!$K$33)*($E$4:$E$253)*($F$4:$F$253))+SUMPRODUCT(($D$257:$D$281=BD97)*($C$257:$C$281='F0 - Données générales'!$K$33)*($E$257:$E$281)*($F$257:$F$281)))/(SUMIFS('F3 - Relevé du personnel'!$E$4:$E$281,'F3 - Relevé du personnel'!$D$4:$D$281,$BD97,'F3 - Relevé du personnel'!$C$4:$C$281,'F0 - Données générales'!$K$33)))</f>
        <v/>
      </c>
      <c r="BS97" s="63"/>
      <c r="BT97" s="63"/>
      <c r="BU97" s="63"/>
      <c r="BV97" s="14"/>
    </row>
    <row r="98" spans="1:74" ht="15" customHeight="1" x14ac:dyDescent="0.3">
      <c r="A98" s="106">
        <v>95</v>
      </c>
      <c r="B98" s="324">
        <f>'F0 - Données générales'!$C$4</f>
        <v>7</v>
      </c>
      <c r="C98" s="106" t="s">
        <v>95</v>
      </c>
      <c r="D98" s="106"/>
      <c r="E98" s="107"/>
      <c r="F98" s="108"/>
      <c r="G98" s="109"/>
      <c r="H98" s="110">
        <f t="shared" si="47"/>
        <v>0</v>
      </c>
      <c r="I98" s="177"/>
      <c r="J98" s="118" t="str">
        <f>IF(OR(D98="",F98=""),"",(((HLOOKUP(D98,'Carrières et points'!$A$20:$AD$60,F98+2,FALSE)*'Carrières et points'!$C$7*'Carrières et points'!$C$9)+(HLOOKUP(D98,'Carrières et points'!$A$20:$AD$60,F98+2,FALSE)*'Carrières et points'!$C$13*'Carrières et points'!$C$15))*(1+'F0 - Données générales'!$I$4)+((HLOOKUP(D98,'Carrières et points'!$A$20:$AD$60,F98+2,FALSE)*'Carrières et points'!$C$7*'Carrières et points'!$C$9)+(HLOOKUP(D98,'Carrières et points'!$A$20:$AD$60,F98+2,FALSE)*'Carrières et points'!$C$13*'Carrières et points'!$C$15))/12*(1+'F0 - Données générales'!$L$13))*E98)</f>
        <v/>
      </c>
      <c r="K98" s="118" t="str">
        <f t="shared" si="48"/>
        <v/>
      </c>
      <c r="L98" s="109"/>
      <c r="M98" s="177"/>
      <c r="N98" s="118" t="str">
        <f t="shared" si="49"/>
        <v/>
      </c>
      <c r="O98" s="177"/>
      <c r="P98" s="177"/>
      <c r="Q98" s="177"/>
      <c r="R98" s="255" t="str">
        <f t="shared" si="50"/>
        <v/>
      </c>
      <c r="S98" s="120"/>
      <c r="T98" s="742" t="s">
        <v>61</v>
      </c>
      <c r="U98" s="742"/>
      <c r="V98" s="26" t="s">
        <v>319</v>
      </c>
      <c r="W98" s="741"/>
      <c r="X98" s="741"/>
      <c r="Y98" s="181">
        <f>SUMIFS('F3 - Relevé du personnel'!$E$4:$E$281,'F3 - Relevé du personnel'!$D$4:$D$281,$V98,'F3 - Relevé du personnel'!$C$4:$C$281,'F0 - Données générales'!$K$31,'F3 - Relevé du personnel'!$B$4:$B$281,"8.2")</f>
        <v>0</v>
      </c>
      <c r="Z98" s="181">
        <f>SUMIFS('F3 - Relevé du personnel'!$H$4:$H$281,'F3 - Relevé du personnel'!$D$4:$D$281,$V98,'F3 - Relevé du personnel'!$C$4:$C$281,'F0 - Données générales'!$K$31,'F3 - Relevé du personnel'!$B$4:$B$281,"8.2")</f>
        <v>0</v>
      </c>
      <c r="AA98" s="256">
        <f>SUMIFS('F3 - Relevé du personnel'!$I$4:$I$281,'F3 - Relevé du personnel'!$D$4:$D$281,$V98,'F3 - Relevé du personnel'!$C$4:$C$281,'F0 - Données générales'!$K$31,'F3 - Relevé du personnel'!$B$4:$B$281,"8.2")</f>
        <v>0</v>
      </c>
      <c r="AB98" s="256">
        <f>SUMIFS('F3 - Relevé du personnel'!$M$4:$M$281,'F3 - Relevé du personnel'!$D$4:$D$281,$V98,'F3 - Relevé du personnel'!$C$4:$C$281,'F0 - Données générales'!$K$31,'F3 - Relevé du personnel'!$B$4:$B$281,"8.2")</f>
        <v>0</v>
      </c>
      <c r="AC98" s="196">
        <f t="shared" si="51"/>
        <v>0</v>
      </c>
      <c r="AD98" s="256">
        <f>SUMIFS('F3 - Relevé du personnel'!$O$4:$O$281,'F3 - Relevé du personnel'!$D$4:$D$281,$V98,'F3 - Relevé du personnel'!$C$4:$C$281,'F0 - Données générales'!$K$31,'F3 - Relevé du personnel'!$B$4:$B$281,"8.2")</f>
        <v>0</v>
      </c>
      <c r="AE98" s="256">
        <f>SUMIFS('F3 - Relevé du personnel'!$P$4:$P$281,'F3 - Relevé du personnel'!$D$4:$D$281,$V98,'F3 - Relevé du personnel'!$C$4:$C$281,'F0 - Données générales'!$K$31,'F3 - Relevé du personnel'!$B$4:$B$281,"8.2")</f>
        <v>0</v>
      </c>
      <c r="AF98" s="256">
        <f>SUMIFS('F3 - Relevé du personnel'!$Q$4:$Q$281,'F3 - Relevé du personnel'!$D$4:$D$281,$V98,'F3 - Relevé du personnel'!$C$4:$C$281,'F0 - Données générales'!$K$31,'F3 - Relevé du personnel'!$B$4:$B$281,"8.2")</f>
        <v>0</v>
      </c>
      <c r="AG98" s="182">
        <f t="shared" si="52"/>
        <v>0</v>
      </c>
      <c r="AH98" s="197" t="str">
        <f t="shared" si="53"/>
        <v/>
      </c>
      <c r="AI98" s="198" t="str">
        <f>IF(Y98=0,"",(SUMPRODUCT(($D$4:$D$253=V98)*($C$4:$C$253='F0 - Données générales'!$K$31)*($E$4:$E$253)*($F$4:$F$253)*($B$4:$B$253="8.2"))+SUMPRODUCT(($D$257:$D$281=V98)*($C$257:$C$281='F0 - Données générales'!$K$31)*($B$257:$B$281="8.2")*($E$257:$E$281)*($F$257:$F$281)))/(SUMIFS('F3 - Relevé du personnel'!$E$4:$E$281,'F3 - Relevé du personnel'!$D$4:$D$281,$V98,'F3 - Relevé du personnel'!$C$4:$C$281,'F0 - Données générales'!$K$31,'F3 - Relevé du personnel'!$B$4:$B$281,"8.2")))</f>
        <v/>
      </c>
      <c r="AK98" s="742" t="s">
        <v>61</v>
      </c>
      <c r="AL98" s="742"/>
      <c r="AM98" s="26" t="s">
        <v>319</v>
      </c>
      <c r="AN98" s="741"/>
      <c r="AO98" s="741"/>
      <c r="AP98" s="181">
        <f>SUMIFS('F3 - Relevé du personnel'!$E$4:$E$281,'F3 - Relevé du personnel'!$D$4:$D$281,$AM98,'F3 - Relevé du personnel'!$C$4:$C$281,'F0 - Données générales'!$K$31,'F3 - Relevé du personnel'!$B$4:$B$281,"AUSC")</f>
        <v>0</v>
      </c>
      <c r="AQ98" s="181">
        <f>SUMIFS('F3 - Relevé du personnel'!$H$4:$H$281,'F3 - Relevé du personnel'!$D$4:$D$281,$AM98,'F3 - Relevé du personnel'!$C$4:$C$281,'F0 - Données générales'!$K$31,'F3 - Relevé du personnel'!$B$4:$B$281,"AUSC")</f>
        <v>0</v>
      </c>
      <c r="AR98" s="256">
        <f>SUMIFS('F3 - Relevé du personnel'!$I$4:$I$281,'F3 - Relevé du personnel'!$D$4:$D$281,$AM98,'F3 - Relevé du personnel'!$C$4:$C$281,'F0 - Données générales'!$K$31,'F3 - Relevé du personnel'!$B$4:$B$281,"AUSC")</f>
        <v>0</v>
      </c>
      <c r="AS98" s="256">
        <f>SUMIFS('F3 - Relevé du personnel'!$M$4:$M$281,'F3 - Relevé du personnel'!$D$4:$D$281,$AM98,'F3 - Relevé du personnel'!$C$4:$C$281,'F0 - Données générales'!$K$31,'F3 - Relevé du personnel'!$B$4:$B$281,"AUSC")</f>
        <v>0</v>
      </c>
      <c r="AT98" s="196">
        <f t="shared" si="64"/>
        <v>0</v>
      </c>
      <c r="AU98" s="256">
        <f>SUMIFS('F3 - Relevé du personnel'!$O$4:$O$281,'F3 - Relevé du personnel'!$D$4:$D$281,$AM98,'F3 - Relevé du personnel'!$C$4:$C$281,'F0 - Données générales'!$K$31,'F3 - Relevé du personnel'!$B$4:$B$281,"AUSC")</f>
        <v>0</v>
      </c>
      <c r="AV98" s="256">
        <f>SUMIFS('F3 - Relevé du personnel'!$P$4:$P$281,'F3 - Relevé du personnel'!$D$4:$D$281,$AM98,'F3 - Relevé du personnel'!$C$4:$C$281,'F0 - Données générales'!$K$31,'F3 - Relevé du personnel'!$B$4:$B$281,"AUSC")</f>
        <v>0</v>
      </c>
      <c r="AW98" s="256">
        <f>SUMIFS('F3 - Relevé du personnel'!$Q$4:$Q$281,'F3 - Relevé du personnel'!$D$4:$D$281,$AM98,'F3 - Relevé du personnel'!$C$4:$C$281,'F0 - Données générales'!$K$31,'F3 - Relevé du personnel'!$B$4:$B$281,"AUSC")</f>
        <v>0</v>
      </c>
      <c r="AX98" s="182">
        <f t="shared" si="65"/>
        <v>0</v>
      </c>
      <c r="AY98" s="197" t="str">
        <f t="shared" si="58"/>
        <v/>
      </c>
      <c r="AZ98" s="198" t="str">
        <f>IF(AP98=0,"",(SUMPRODUCT(($D$4:$D$253=AM98)*($C$4:$C$253='F0 - Données générales'!$K$31)*($E$4:$E$253)*($F$4:$F$253)*($B$4:$B$253="AUSC"))+SUMPRODUCT(($D$257:$D$281=AM98)*($C$257:$C$281='F0 - Données générales'!$K$31)*($B$257:$B$281="AUSC")*($E$257:$E$281)*($F$257:$F$281)))/(SUMIFS('F3 - Relevé du personnel'!$E$4:$E$281,'F3 - Relevé du personnel'!$D$4:$D$281,$AM98,'F3 - Relevé du personnel'!$C$4:$C$281,'F0 - Données générales'!$K$31,'F3 - Relevé du personnel'!$B$4:$B$281,"AUSC")))</f>
        <v/>
      </c>
      <c r="BB98" s="762"/>
      <c r="BC98" s="763"/>
      <c r="BD98" s="777" t="s">
        <v>166</v>
      </c>
      <c r="BE98" s="778"/>
      <c r="BF98" s="779"/>
      <c r="BG98" s="190">
        <f>SUM(BG92:BG97)</f>
        <v>0</v>
      </c>
      <c r="BH98" s="191">
        <f>SUM(BH92:BH97)</f>
        <v>0</v>
      </c>
      <c r="BI98" s="191">
        <f>SUM(BI92:BI97)</f>
        <v>0</v>
      </c>
      <c r="BJ98" s="191">
        <f t="shared" si="66"/>
        <v>0</v>
      </c>
      <c r="BK98" s="191">
        <f>SUM(BK92:BK97)</f>
        <v>0</v>
      </c>
      <c r="BL98" s="191">
        <f>SUM(BL92:BL97)</f>
        <v>0</v>
      </c>
      <c r="BM98" s="191">
        <f>SUM(BM92:BM97)</f>
        <v>0</v>
      </c>
      <c r="BN98" s="192">
        <f>BH98+BI98-SUM(BK98:BM98)</f>
        <v>0</v>
      </c>
      <c r="BO98" s="192" t="str">
        <f t="shared" si="67"/>
        <v/>
      </c>
      <c r="BP98" s="193"/>
      <c r="BS98" s="63"/>
      <c r="BT98" s="63"/>
      <c r="BU98" s="63"/>
      <c r="BV98" s="132"/>
    </row>
    <row r="99" spans="1:74" ht="15" customHeight="1" x14ac:dyDescent="0.3">
      <c r="A99" s="106">
        <v>96</v>
      </c>
      <c r="B99" s="324">
        <f>'F0 - Données générales'!$C$4</f>
        <v>7</v>
      </c>
      <c r="C99" s="106" t="s">
        <v>95</v>
      </c>
      <c r="D99" s="106"/>
      <c r="E99" s="107"/>
      <c r="F99" s="108"/>
      <c r="G99" s="109"/>
      <c r="H99" s="110">
        <f t="shared" si="47"/>
        <v>0</v>
      </c>
      <c r="I99" s="177"/>
      <c r="J99" s="118" t="str">
        <f>IF(OR(D99="",F99=""),"",(((HLOOKUP(D99,'Carrières et points'!$A$20:$AD$60,F99+2,FALSE)*'Carrières et points'!$C$7*'Carrières et points'!$C$9)+(HLOOKUP(D99,'Carrières et points'!$A$20:$AD$60,F99+2,FALSE)*'Carrières et points'!$C$13*'Carrières et points'!$C$15))*(1+'F0 - Données générales'!$I$4)+((HLOOKUP(D99,'Carrières et points'!$A$20:$AD$60,F99+2,FALSE)*'Carrières et points'!$C$7*'Carrières et points'!$C$9)+(HLOOKUP(D99,'Carrières et points'!$A$20:$AD$60,F99+2,FALSE)*'Carrières et points'!$C$13*'Carrières et points'!$C$15))/12*(1+'F0 - Données générales'!$L$13))*E99)</f>
        <v/>
      </c>
      <c r="K99" s="118" t="str">
        <f t="shared" si="48"/>
        <v/>
      </c>
      <c r="L99" s="109"/>
      <c r="M99" s="177"/>
      <c r="N99" s="118" t="str">
        <f t="shared" si="49"/>
        <v/>
      </c>
      <c r="O99" s="177"/>
      <c r="P99" s="177"/>
      <c r="Q99" s="177"/>
      <c r="R99" s="255" t="str">
        <f t="shared" si="50"/>
        <v/>
      </c>
      <c r="S99" s="120"/>
      <c r="T99" s="742" t="s">
        <v>61</v>
      </c>
      <c r="U99" s="742"/>
      <c r="V99" s="26" t="s">
        <v>99</v>
      </c>
      <c r="W99" s="741"/>
      <c r="X99" s="741"/>
      <c r="Y99" s="181">
        <f>SUMIFS('F3 - Relevé du personnel'!$E$4:$E$281,'F3 - Relevé du personnel'!$D$4:$D$281,$V99,'F3 - Relevé du personnel'!$C$4:$C$281,'F0 - Données générales'!$K$31,'F3 - Relevé du personnel'!$B$4:$B$281,"8.2")</f>
        <v>0</v>
      </c>
      <c r="Z99" s="181">
        <f>SUMIFS('F3 - Relevé du personnel'!$H$4:$H$281,'F3 - Relevé du personnel'!$D$4:$D$281,$V99,'F3 - Relevé du personnel'!$C$4:$C$281,'F0 - Données générales'!$K$31,'F3 - Relevé du personnel'!$B$4:$B$281,"8.2")</f>
        <v>0</v>
      </c>
      <c r="AA99" s="256">
        <f>SUMIFS('F3 - Relevé du personnel'!$I$4:$I$281,'F3 - Relevé du personnel'!$D$4:$D$281,$V99,'F3 - Relevé du personnel'!$C$4:$C$281,'F0 - Données générales'!$K$31,'F3 - Relevé du personnel'!$B$4:$B$281,"8.2")</f>
        <v>0</v>
      </c>
      <c r="AB99" s="256">
        <f>SUMIFS('F3 - Relevé du personnel'!$M$4:$M$281,'F3 - Relevé du personnel'!$D$4:$D$281,$V99,'F3 - Relevé du personnel'!$C$4:$C$281,'F0 - Données générales'!$K$31,'F3 - Relevé du personnel'!$B$4:$B$281,"8.2")</f>
        <v>0</v>
      </c>
      <c r="AC99" s="196">
        <f t="shared" si="51"/>
        <v>0</v>
      </c>
      <c r="AD99" s="256">
        <f>SUMIFS('F3 - Relevé du personnel'!$O$4:$O$281,'F3 - Relevé du personnel'!$D$4:$D$281,$V99,'F3 - Relevé du personnel'!$C$4:$C$281,'F0 - Données générales'!$K$31,'F3 - Relevé du personnel'!$B$4:$B$281,"8.2")</f>
        <v>0</v>
      </c>
      <c r="AE99" s="256">
        <f>SUMIFS('F3 - Relevé du personnel'!$P$4:$P$281,'F3 - Relevé du personnel'!$D$4:$D$281,$V99,'F3 - Relevé du personnel'!$C$4:$C$281,'F0 - Données générales'!$K$31,'F3 - Relevé du personnel'!$B$4:$B$281,"8.2")</f>
        <v>0</v>
      </c>
      <c r="AF99" s="256">
        <f>SUMIFS('F3 - Relevé du personnel'!$Q$4:$Q$281,'F3 - Relevé du personnel'!$D$4:$D$281,$V99,'F3 - Relevé du personnel'!$C$4:$C$281,'F0 - Données générales'!$K$31,'F3 - Relevé du personnel'!$B$4:$B$281,"8.2")</f>
        <v>0</v>
      </c>
      <c r="AG99" s="182">
        <f t="shared" si="52"/>
        <v>0</v>
      </c>
      <c r="AH99" s="197" t="str">
        <f t="shared" si="53"/>
        <v/>
      </c>
      <c r="AI99" s="198" t="str">
        <f>IF(Y99=0,"",(SUMPRODUCT(($D$4:$D$253=V99)*($C$4:$C$253='F0 - Données générales'!$K$31)*($E$4:$E$253)*($F$4:$F$253)*($B$4:$B$253="8.2"))+SUMPRODUCT(($D$257:$D$281=V99)*($C$257:$C$281='F0 - Données générales'!$K$31)*($B$257:$B$281="8.2")*($E$257:$E$281)*($F$257:$F$281)))/(SUMIFS('F3 - Relevé du personnel'!$E$4:$E$281,'F3 - Relevé du personnel'!$D$4:$D$281,$V99,'F3 - Relevé du personnel'!$C$4:$C$281,'F0 - Données générales'!$K$31,'F3 - Relevé du personnel'!$B$4:$B$281,"8.2")))</f>
        <v/>
      </c>
      <c r="AK99" s="742" t="s">
        <v>61</v>
      </c>
      <c r="AL99" s="742"/>
      <c r="AM99" s="26" t="s">
        <v>99</v>
      </c>
      <c r="AN99" s="741"/>
      <c r="AO99" s="741"/>
      <c r="AP99" s="181">
        <f>SUMIFS('F3 - Relevé du personnel'!$E$4:$E$281,'F3 - Relevé du personnel'!$D$4:$D$281,$AM99,'F3 - Relevé du personnel'!$C$4:$C$281,'F0 - Données générales'!$K$31,'F3 - Relevé du personnel'!$B$4:$B$281,"AUSC")</f>
        <v>0</v>
      </c>
      <c r="AQ99" s="181">
        <f>SUMIFS('F3 - Relevé du personnel'!$H$4:$H$281,'F3 - Relevé du personnel'!$D$4:$D$281,$AM99,'F3 - Relevé du personnel'!$C$4:$C$281,'F0 - Données générales'!$K$31,'F3 - Relevé du personnel'!$B$4:$B$281,"AUSC")</f>
        <v>0</v>
      </c>
      <c r="AR99" s="256">
        <f>SUMIFS('F3 - Relevé du personnel'!$I$4:$I$281,'F3 - Relevé du personnel'!$D$4:$D$281,$AM99,'F3 - Relevé du personnel'!$C$4:$C$281,'F0 - Données générales'!$K$31,'F3 - Relevé du personnel'!$B$4:$B$281,"AUSC")</f>
        <v>0</v>
      </c>
      <c r="AS99" s="256">
        <f>SUMIFS('F3 - Relevé du personnel'!$M$4:$M$281,'F3 - Relevé du personnel'!$D$4:$D$281,$AM99,'F3 - Relevé du personnel'!$C$4:$C$281,'F0 - Données générales'!$K$31,'F3 - Relevé du personnel'!$B$4:$B$281,"AUSC")</f>
        <v>0</v>
      </c>
      <c r="AT99" s="196">
        <f t="shared" si="64"/>
        <v>0</v>
      </c>
      <c r="AU99" s="256">
        <f>SUMIFS('F3 - Relevé du personnel'!$O$4:$O$281,'F3 - Relevé du personnel'!$D$4:$D$281,$AM99,'F3 - Relevé du personnel'!$C$4:$C$281,'F0 - Données générales'!$K$31,'F3 - Relevé du personnel'!$B$4:$B$281,"AUSC")</f>
        <v>0</v>
      </c>
      <c r="AV99" s="256">
        <f>SUMIFS('F3 - Relevé du personnel'!$P$4:$P$281,'F3 - Relevé du personnel'!$D$4:$D$281,$AM99,'F3 - Relevé du personnel'!$C$4:$C$281,'F0 - Données générales'!$K$31,'F3 - Relevé du personnel'!$B$4:$B$281,"AUSC")</f>
        <v>0</v>
      </c>
      <c r="AW99" s="256">
        <f>SUMIFS('F3 - Relevé du personnel'!$Q$4:$Q$281,'F3 - Relevé du personnel'!$D$4:$D$281,$AM99,'F3 - Relevé du personnel'!$C$4:$C$281,'F0 - Données générales'!$K$31,'F3 - Relevé du personnel'!$B$4:$B$281,"AUSC")</f>
        <v>0</v>
      </c>
      <c r="AX99" s="182">
        <f t="shared" si="65"/>
        <v>0</v>
      </c>
      <c r="AY99" s="197" t="str">
        <f t="shared" si="58"/>
        <v/>
      </c>
      <c r="AZ99" s="198" t="str">
        <f>IF(AP99=0,"",(SUMPRODUCT(($D$4:$D$253=AM99)*($C$4:$C$253='F0 - Données générales'!$K$31)*($E$4:$E$253)*($F$4:$F$253)*($B$4:$B$253="AUSC"))+SUMPRODUCT(($D$257:$D$281=AM99)*($C$257:$C$281='F0 - Données générales'!$K$31)*($B$257:$B$281="AUSC")*($E$257:$E$281)*($F$257:$F$281)))/(SUMIFS('F3 - Relevé du personnel'!$E$4:$E$281,'F3 - Relevé du personnel'!$D$4:$D$281,$AM99,'F3 - Relevé du personnel'!$C$4:$C$281,'F0 - Données générales'!$K$31,'F3 - Relevé du personnel'!$B$4:$B$281,"AUSC")))</f>
        <v/>
      </c>
      <c r="BB99" s="760" t="s">
        <v>79</v>
      </c>
      <c r="BC99" s="761"/>
      <c r="BD99" s="13" t="s">
        <v>92</v>
      </c>
      <c r="BE99" s="758" t="s">
        <v>93</v>
      </c>
      <c r="BF99" s="759"/>
      <c r="BG99" s="45">
        <f>SUMIFS('F3 - Relevé du personnel'!$E$4:$E$281,'F3 - Relevé du personnel'!$D$4:$D$281,$BD99,'F3 - Relevé du personnel'!$C$4:$C$281,'F0 - Données générales'!$K$33)</f>
        <v>0</v>
      </c>
      <c r="BH99" s="259">
        <f>SUMIFS('F3 - Relevé du personnel'!$I$4:$I$281,'F3 - Relevé du personnel'!$D$4:$D$281,$BD99,'F3 - Relevé du personnel'!$C$4:$C$281,'F0 - Données générales'!$K$33)</f>
        <v>0</v>
      </c>
      <c r="BI99" s="259">
        <f>SUMIFS('F3 - Relevé du personnel'!$M$4:$M$281,'F3 - Relevé du personnel'!$D$4:$D$281,$BD99,'F3 - Relevé du personnel'!$C$4:$C$281,'F0 - Données générales'!$K$33)</f>
        <v>0</v>
      </c>
      <c r="BJ99" s="189">
        <f t="shared" si="66"/>
        <v>0</v>
      </c>
      <c r="BK99" s="259">
        <f>SUMIFS('F3 - Relevé du personnel'!$O$4:$O$281,'F3 - Relevé du personnel'!$D$4:$D$281,$BD99,'F3 - Relevé du personnel'!$C$4:$C$281,'F0 - Données générales'!$K$33)</f>
        <v>0</v>
      </c>
      <c r="BL99" s="259">
        <f>SUMIFS('F3 - Relevé du personnel'!$P$4:$P$281,'F3 - Relevé du personnel'!$D$4:$D$281,$BD99,'F3 - Relevé du personnel'!$C$4:$C$281,'F0 - Données générales'!$K$33)</f>
        <v>0</v>
      </c>
      <c r="BM99" s="259">
        <f>SUMIFS('F3 - Relevé du personnel'!$Q$4:$Q$281,'F3 - Relevé du personnel'!$D$4:$D$281,$BD99,'F3 - Relevé du personnel'!$C$4:$C$281,'F0 - Données générales'!$K$33)</f>
        <v>0</v>
      </c>
      <c r="BN99" s="48">
        <f>BH99+BI99-SUM(BK99:BM99)</f>
        <v>0</v>
      </c>
      <c r="BO99" s="187" t="str">
        <f t="shared" si="67"/>
        <v/>
      </c>
      <c r="BP99" s="188" t="str">
        <f>IF(BG99=0,"",(SUMPRODUCT(($D$4:$D$253=BD99)*($C$4:$C$253='F0 - Données générales'!$K$33)*($E$4:$E$253)*($F$4:$F$253))+SUMPRODUCT(($D$257:$D$281=BD99)*($C$257:$C$281='F0 - Données générales'!$K$33)*($E$257:$E$281)*($F$257:$F$281)))/(SUMIFS('F3 - Relevé du personnel'!$E$4:$E$281,'F3 - Relevé du personnel'!$D$4:$D$281,$BD99,'F3 - Relevé du personnel'!$C$4:$C$281,'F0 - Données générales'!$K$33)))</f>
        <v/>
      </c>
      <c r="BS99" s="63"/>
      <c r="BT99" s="63"/>
      <c r="BU99" s="63"/>
      <c r="BV99" s="14"/>
    </row>
    <row r="100" spans="1:74" ht="15" customHeight="1" x14ac:dyDescent="0.3">
      <c r="A100" s="106">
        <v>97</v>
      </c>
      <c r="B100" s="324">
        <f>'F0 - Données générales'!$C$4</f>
        <v>7</v>
      </c>
      <c r="C100" s="106" t="s">
        <v>95</v>
      </c>
      <c r="D100" s="106"/>
      <c r="E100" s="107"/>
      <c r="F100" s="108"/>
      <c r="G100" s="109"/>
      <c r="H100" s="110">
        <f t="shared" si="47"/>
        <v>0</v>
      </c>
      <c r="I100" s="177"/>
      <c r="J100" s="118" t="str">
        <f>IF(OR(D100="",F100=""),"",(((HLOOKUP(D100,'Carrières et points'!$A$20:$AD$60,F100+2,FALSE)*'Carrières et points'!$C$7*'Carrières et points'!$C$9)+(HLOOKUP(D100,'Carrières et points'!$A$20:$AD$60,F100+2,FALSE)*'Carrières et points'!$C$13*'Carrières et points'!$C$15))*(1+'F0 - Données générales'!$I$4)+((HLOOKUP(D100,'Carrières et points'!$A$20:$AD$60,F100+2,FALSE)*'Carrières et points'!$C$7*'Carrières et points'!$C$9)+(HLOOKUP(D100,'Carrières et points'!$A$20:$AD$60,F100+2,FALSE)*'Carrières et points'!$C$13*'Carrières et points'!$C$15))/12*(1+'F0 - Données générales'!$L$13))*E100)</f>
        <v/>
      </c>
      <c r="K100" s="118" t="str">
        <f t="shared" si="48"/>
        <v/>
      </c>
      <c r="L100" s="109"/>
      <c r="M100" s="177"/>
      <c r="N100" s="118" t="str">
        <f t="shared" si="49"/>
        <v/>
      </c>
      <c r="O100" s="177"/>
      <c r="P100" s="177"/>
      <c r="Q100" s="177"/>
      <c r="R100" s="255" t="str">
        <f t="shared" si="50"/>
        <v/>
      </c>
      <c r="S100" s="120"/>
      <c r="T100" s="742" t="s">
        <v>61</v>
      </c>
      <c r="U100" s="742"/>
      <c r="V100" s="26" t="s">
        <v>100</v>
      </c>
      <c r="W100" s="741"/>
      <c r="X100" s="741"/>
      <c r="Y100" s="181">
        <f>SUMIFS('F3 - Relevé du personnel'!$E$4:$E$281,'F3 - Relevé du personnel'!$D$4:$D$281,$V100,'F3 - Relevé du personnel'!$C$4:$C$281,'F0 - Données générales'!$K$31,'F3 - Relevé du personnel'!$B$4:$B$281,"8.2")</f>
        <v>0</v>
      </c>
      <c r="Z100" s="181">
        <f>SUMIFS('F3 - Relevé du personnel'!$H$4:$H$281,'F3 - Relevé du personnel'!$D$4:$D$281,$V100,'F3 - Relevé du personnel'!$C$4:$C$281,'F0 - Données générales'!$K$31,'F3 - Relevé du personnel'!$B$4:$B$281,"8.2")</f>
        <v>0</v>
      </c>
      <c r="AA100" s="256">
        <f>SUMIFS('F3 - Relevé du personnel'!$I$4:$I$281,'F3 - Relevé du personnel'!$D$4:$D$281,$V100,'F3 - Relevé du personnel'!$C$4:$C$281,'F0 - Données générales'!$K$31,'F3 - Relevé du personnel'!$B$4:$B$281,"8.2")</f>
        <v>0</v>
      </c>
      <c r="AB100" s="256">
        <f>SUMIFS('F3 - Relevé du personnel'!$M$4:$M$281,'F3 - Relevé du personnel'!$D$4:$D$281,$V100,'F3 - Relevé du personnel'!$C$4:$C$281,'F0 - Données générales'!$K$31,'F3 - Relevé du personnel'!$B$4:$B$281,"8.2")</f>
        <v>0</v>
      </c>
      <c r="AC100" s="196">
        <f t="shared" si="51"/>
        <v>0</v>
      </c>
      <c r="AD100" s="256">
        <f>SUMIFS('F3 - Relevé du personnel'!$O$4:$O$281,'F3 - Relevé du personnel'!$D$4:$D$281,$V100,'F3 - Relevé du personnel'!$C$4:$C$281,'F0 - Données générales'!$K$31,'F3 - Relevé du personnel'!$B$4:$B$281,"8.2")</f>
        <v>0</v>
      </c>
      <c r="AE100" s="256">
        <f>SUMIFS('F3 - Relevé du personnel'!$P$4:$P$281,'F3 - Relevé du personnel'!$D$4:$D$281,$V100,'F3 - Relevé du personnel'!$C$4:$C$281,'F0 - Données générales'!$K$31,'F3 - Relevé du personnel'!$B$4:$B$281,"8.2")</f>
        <v>0</v>
      </c>
      <c r="AF100" s="256">
        <f>SUMIFS('F3 - Relevé du personnel'!$Q$4:$Q$281,'F3 - Relevé du personnel'!$D$4:$D$281,$V100,'F3 - Relevé du personnel'!$C$4:$C$281,'F0 - Données générales'!$K$31,'F3 - Relevé du personnel'!$B$4:$B$281,"8.2")</f>
        <v>0</v>
      </c>
      <c r="AG100" s="182">
        <f t="shared" si="52"/>
        <v>0</v>
      </c>
      <c r="AH100" s="197" t="str">
        <f t="shared" si="53"/>
        <v/>
      </c>
      <c r="AI100" s="198" t="str">
        <f>IF(Y100=0,"",(SUMPRODUCT(($D$4:$D$253=V100)*($C$4:$C$253='F0 - Données générales'!$K$31)*($E$4:$E$253)*($F$4:$F$253)*($B$4:$B$253="8.2"))+SUMPRODUCT(($D$257:$D$281=V100)*($C$257:$C$281='F0 - Données générales'!$K$31)*($B$257:$B$281="8.2")*($E$257:$E$281)*($F$257:$F$281)))/(SUMIFS('F3 - Relevé du personnel'!$E$4:$E$281,'F3 - Relevé du personnel'!$D$4:$D$281,$V100,'F3 - Relevé du personnel'!$C$4:$C$281,'F0 - Données générales'!$K$31,'F3 - Relevé du personnel'!$B$4:$B$281,"8.2")))</f>
        <v/>
      </c>
      <c r="AK100" s="742" t="s">
        <v>61</v>
      </c>
      <c r="AL100" s="742"/>
      <c r="AM100" s="26" t="s">
        <v>100</v>
      </c>
      <c r="AN100" s="741"/>
      <c r="AO100" s="741"/>
      <c r="AP100" s="181">
        <f>SUMIFS('F3 - Relevé du personnel'!$E$4:$E$281,'F3 - Relevé du personnel'!$D$4:$D$281,$AM100,'F3 - Relevé du personnel'!$C$4:$C$281,'F0 - Données générales'!$K$31,'F3 - Relevé du personnel'!$B$4:$B$281,"AUSC")</f>
        <v>0</v>
      </c>
      <c r="AQ100" s="181">
        <f>SUMIFS('F3 - Relevé du personnel'!$H$4:$H$281,'F3 - Relevé du personnel'!$D$4:$D$281,$AM100,'F3 - Relevé du personnel'!$C$4:$C$281,'F0 - Données générales'!$K$31,'F3 - Relevé du personnel'!$B$4:$B$281,"AUSC")</f>
        <v>0</v>
      </c>
      <c r="AR100" s="256">
        <f>SUMIFS('F3 - Relevé du personnel'!$I$4:$I$281,'F3 - Relevé du personnel'!$D$4:$D$281,$AM100,'F3 - Relevé du personnel'!$C$4:$C$281,'F0 - Données générales'!$K$31,'F3 - Relevé du personnel'!$B$4:$B$281,"AUSC")</f>
        <v>0</v>
      </c>
      <c r="AS100" s="256">
        <f>SUMIFS('F3 - Relevé du personnel'!$M$4:$M$281,'F3 - Relevé du personnel'!$D$4:$D$281,$AM100,'F3 - Relevé du personnel'!$C$4:$C$281,'F0 - Données générales'!$K$31,'F3 - Relevé du personnel'!$B$4:$B$281,"AUSC")</f>
        <v>0</v>
      </c>
      <c r="AT100" s="196">
        <f t="shared" si="64"/>
        <v>0</v>
      </c>
      <c r="AU100" s="256">
        <f>SUMIFS('F3 - Relevé du personnel'!$O$4:$O$281,'F3 - Relevé du personnel'!$D$4:$D$281,$AM100,'F3 - Relevé du personnel'!$C$4:$C$281,'F0 - Données générales'!$K$31,'F3 - Relevé du personnel'!$B$4:$B$281,"AUSC")</f>
        <v>0</v>
      </c>
      <c r="AV100" s="256">
        <f>SUMIFS('F3 - Relevé du personnel'!$P$4:$P$281,'F3 - Relevé du personnel'!$D$4:$D$281,$AM100,'F3 - Relevé du personnel'!$C$4:$C$281,'F0 - Données générales'!$K$31,'F3 - Relevé du personnel'!$B$4:$B$281,"AUSC")</f>
        <v>0</v>
      </c>
      <c r="AW100" s="256">
        <f>SUMIFS('F3 - Relevé du personnel'!$Q$4:$Q$281,'F3 - Relevé du personnel'!$D$4:$D$281,$AM100,'F3 - Relevé du personnel'!$C$4:$C$281,'F0 - Données générales'!$K$31,'F3 - Relevé du personnel'!$B$4:$B$281,"AUSC")</f>
        <v>0</v>
      </c>
      <c r="AX100" s="182">
        <f t="shared" si="65"/>
        <v>0</v>
      </c>
      <c r="AY100" s="197" t="str">
        <f t="shared" si="58"/>
        <v/>
      </c>
      <c r="AZ100" s="198" t="str">
        <f>IF(AP100=0,"",(SUMPRODUCT(($D$4:$D$253=AM100)*($C$4:$C$253='F0 - Données générales'!$K$31)*($E$4:$E$253)*($F$4:$F$253)*($B$4:$B$253="AUSC"))+SUMPRODUCT(($D$257:$D$281=AM100)*($C$257:$C$281='F0 - Données générales'!$K$31)*($B$257:$B$281="AUSC")*($E$257:$E$281)*($F$257:$F$281)))/(SUMIFS('F3 - Relevé du personnel'!$E$4:$E$281,'F3 - Relevé du personnel'!$D$4:$D$281,$AM100,'F3 - Relevé du personnel'!$C$4:$C$281,'F0 - Données générales'!$K$31,'F3 - Relevé du personnel'!$B$4:$B$281,"AUSC")))</f>
        <v/>
      </c>
      <c r="BB100" s="762"/>
      <c r="BC100" s="763"/>
      <c r="BD100" s="777" t="s">
        <v>167</v>
      </c>
      <c r="BE100" s="778"/>
      <c r="BF100" s="779"/>
      <c r="BG100" s="190">
        <f>SUM(BG99:BG99)</f>
        <v>0</v>
      </c>
      <c r="BH100" s="191">
        <f>SUM(BH99:BH99)</f>
        <v>0</v>
      </c>
      <c r="BI100" s="191">
        <f>SUM(BI99:BI99)</f>
        <v>0</v>
      </c>
      <c r="BJ100" s="191">
        <f t="shared" si="66"/>
        <v>0</v>
      </c>
      <c r="BK100" s="191">
        <f>SUM(BK99:BK99)</f>
        <v>0</v>
      </c>
      <c r="BL100" s="191">
        <f>SUM(BL99:BL99)</f>
        <v>0</v>
      </c>
      <c r="BM100" s="191">
        <f>SUM(BM99:BM99)</f>
        <v>0</v>
      </c>
      <c r="BN100" s="192">
        <f>BH100+BI100-SUM(BK100:BM100)</f>
        <v>0</v>
      </c>
      <c r="BO100" s="192" t="str">
        <f t="shared" si="67"/>
        <v/>
      </c>
      <c r="BP100" s="193"/>
      <c r="BS100" s="63"/>
      <c r="BT100" s="63"/>
      <c r="BU100" s="63"/>
    </row>
    <row r="101" spans="1:74" ht="15" customHeight="1" x14ac:dyDescent="0.3">
      <c r="A101" s="106">
        <v>98</v>
      </c>
      <c r="B101" s="324">
        <f>'F0 - Données générales'!$C$4</f>
        <v>7</v>
      </c>
      <c r="C101" s="106" t="s">
        <v>95</v>
      </c>
      <c r="D101" s="106"/>
      <c r="E101" s="107"/>
      <c r="F101" s="108"/>
      <c r="G101" s="109"/>
      <c r="H101" s="110">
        <f t="shared" si="47"/>
        <v>0</v>
      </c>
      <c r="I101" s="177"/>
      <c r="J101" s="118" t="str">
        <f>IF(OR(D101="",F101=""),"",(((HLOOKUP(D101,'Carrières et points'!$A$20:$AD$60,F101+2,FALSE)*'Carrières et points'!$C$7*'Carrières et points'!$C$9)+(HLOOKUP(D101,'Carrières et points'!$A$20:$AD$60,F101+2,FALSE)*'Carrières et points'!$C$13*'Carrières et points'!$C$15))*(1+'F0 - Données générales'!$I$4)+((HLOOKUP(D101,'Carrières et points'!$A$20:$AD$60,F101+2,FALSE)*'Carrières et points'!$C$7*'Carrières et points'!$C$9)+(HLOOKUP(D101,'Carrières et points'!$A$20:$AD$60,F101+2,FALSE)*'Carrières et points'!$C$13*'Carrières et points'!$C$15))/12*(1+'F0 - Données générales'!$L$13))*E101)</f>
        <v/>
      </c>
      <c r="K101" s="118" t="str">
        <f t="shared" si="48"/>
        <v/>
      </c>
      <c r="L101" s="109"/>
      <c r="M101" s="177"/>
      <c r="N101" s="118" t="str">
        <f t="shared" si="49"/>
        <v/>
      </c>
      <c r="O101" s="177"/>
      <c r="P101" s="177"/>
      <c r="Q101" s="177"/>
      <c r="R101" s="255" t="str">
        <f t="shared" si="50"/>
        <v/>
      </c>
      <c r="S101" s="120"/>
      <c r="T101" s="743"/>
      <c r="U101" s="743"/>
      <c r="V101" s="749" t="s">
        <v>168</v>
      </c>
      <c r="W101" s="749"/>
      <c r="X101" s="749"/>
      <c r="Y101" s="199">
        <f>SUM(Y91:Y100)</f>
        <v>0</v>
      </c>
      <c r="Z101" s="199">
        <f>SUM(Z91:Z100)</f>
        <v>0</v>
      </c>
      <c r="AA101" s="200">
        <f>SUM(AA91:AA100)</f>
        <v>0</v>
      </c>
      <c r="AB101" s="200">
        <f>SUM(AB91:AB100)</f>
        <v>0</v>
      </c>
      <c r="AC101" s="200">
        <f t="shared" si="51"/>
        <v>0</v>
      </c>
      <c r="AD101" s="200">
        <f>SUM(AD91:AD100)</f>
        <v>0</v>
      </c>
      <c r="AE101" s="200">
        <f>SUM(AE91:AE100)</f>
        <v>0</v>
      </c>
      <c r="AF101" s="200">
        <f>SUM(AF91:AF100)</f>
        <v>0</v>
      </c>
      <c r="AG101" s="201">
        <f t="shared" si="52"/>
        <v>0</v>
      </c>
      <c r="AH101" s="201" t="str">
        <f t="shared" si="53"/>
        <v/>
      </c>
      <c r="AI101" s="202"/>
      <c r="AK101" s="743"/>
      <c r="AL101" s="743"/>
      <c r="AM101" s="749" t="s">
        <v>168</v>
      </c>
      <c r="AN101" s="749"/>
      <c r="AO101" s="749"/>
      <c r="AP101" s="199">
        <f>SUM(AP91:AP100)</f>
        <v>0</v>
      </c>
      <c r="AQ101" s="199">
        <f>SUM(AQ91:AQ100)</f>
        <v>0</v>
      </c>
      <c r="AR101" s="200">
        <f>SUM(AR91:AR100)</f>
        <v>0</v>
      </c>
      <c r="AS101" s="200">
        <f>SUM(AS91:AS100)</f>
        <v>0</v>
      </c>
      <c r="AT101" s="200">
        <f>(AR101+AS101)</f>
        <v>0</v>
      </c>
      <c r="AU101" s="200">
        <f>SUM(AU91:AU100)</f>
        <v>0</v>
      </c>
      <c r="AV101" s="200">
        <f>SUM(AV91:AV100)</f>
        <v>0</v>
      </c>
      <c r="AW101" s="200">
        <f>SUM(AW91:AW100)</f>
        <v>0</v>
      </c>
      <c r="AX101" s="201">
        <f>AR101+AS101-SUM(AU101:AW101)</f>
        <v>0</v>
      </c>
      <c r="AY101" s="201" t="str">
        <f t="shared" si="58"/>
        <v/>
      </c>
      <c r="AZ101" s="202"/>
      <c r="BB101" s="760" t="s">
        <v>79</v>
      </c>
      <c r="BC101" s="761"/>
      <c r="BD101" s="13" t="s">
        <v>96</v>
      </c>
      <c r="BE101" s="758"/>
      <c r="BF101" s="759"/>
      <c r="BG101" s="45">
        <f>SUMIFS('F3 - Relevé du personnel'!$E$4:$E$281,'F3 - Relevé du personnel'!$D$4:$D$281,$BD101,'F3 - Relevé du personnel'!$C$4:$C$281,'F0 - Données générales'!$K$33)</f>
        <v>0</v>
      </c>
      <c r="BH101" s="259">
        <f>SUMIFS('F3 - Relevé du personnel'!$I$4:$I$281,'F3 - Relevé du personnel'!$D$4:$D$281,$BD101,'F3 - Relevé du personnel'!$C$4:$C$281,'F0 - Données générales'!$K$33)</f>
        <v>0</v>
      </c>
      <c r="BI101" s="259">
        <f>SUMIFS('F3 - Relevé du personnel'!$M$4:$M$281,'F3 - Relevé du personnel'!$D$4:$D$281,$BD101,'F3 - Relevé du personnel'!$C$4:$C$281,'F0 - Données générales'!$K$33)</f>
        <v>0</v>
      </c>
      <c r="BJ101" s="189">
        <f t="shared" si="66"/>
        <v>0</v>
      </c>
      <c r="BK101" s="259">
        <f>SUMIFS('F3 - Relevé du personnel'!$O$4:$O$281,'F3 - Relevé du personnel'!$D$4:$D$281,$BD101,'F3 - Relevé du personnel'!$C$4:$C$281,'F0 - Données générales'!$K$33)</f>
        <v>0</v>
      </c>
      <c r="BL101" s="259">
        <f>SUMIFS('F3 - Relevé du personnel'!$P$4:$P$281,'F3 - Relevé du personnel'!$D$4:$D$281,$BD101,'F3 - Relevé du personnel'!$C$4:$C$281,'F0 - Données générales'!$K$33)</f>
        <v>0</v>
      </c>
      <c r="BM101" s="259">
        <f>SUMIFS('F3 - Relevé du personnel'!$Q$4:$Q$281,'F3 - Relevé du personnel'!$D$4:$D$281,$BD101,'F3 - Relevé du personnel'!$C$4:$C$281,'F0 - Données générales'!$K$33)</f>
        <v>0</v>
      </c>
      <c r="BN101" s="48">
        <f t="shared" ref="BN101:BN110" si="69">BH101+BI101-SUM(BK101:BM101)</f>
        <v>0</v>
      </c>
      <c r="BO101" s="187" t="str">
        <f t="shared" si="67"/>
        <v/>
      </c>
      <c r="BP101" s="188" t="str">
        <f>IF(BG101=0,"",(SUMPRODUCT(($D$4:$D$253=BD101)*($C$4:$C$253='F0 - Données générales'!$K$33)*($E$4:$E$253)*($F$4:$F$253))+SUMPRODUCT(($D$257:$D$281=BD101)*($C$257:$C$281='F0 - Données générales'!$K$33)*($E$257:$E$281)*($F$257:$F$281)))/(SUMIFS('F3 - Relevé du personnel'!$E$4:$E$281,'F3 - Relevé du personnel'!$D$4:$D$281,$BD101,'F3 - Relevé du personnel'!$C$4:$C$281,'F0 - Données générales'!$K$33)))</f>
        <v/>
      </c>
      <c r="BS101" s="63"/>
      <c r="BT101" s="63"/>
      <c r="BU101" s="63"/>
      <c r="BV101" s="14"/>
    </row>
    <row r="102" spans="1:74" ht="15" customHeight="1" x14ac:dyDescent="0.3">
      <c r="A102" s="106">
        <v>99</v>
      </c>
      <c r="B102" s="324">
        <f>'F0 - Données générales'!$C$4</f>
        <v>7</v>
      </c>
      <c r="C102" s="106" t="s">
        <v>95</v>
      </c>
      <c r="D102" s="106"/>
      <c r="E102" s="107"/>
      <c r="F102" s="108"/>
      <c r="G102" s="109"/>
      <c r="H102" s="110">
        <f t="shared" si="47"/>
        <v>0</v>
      </c>
      <c r="I102" s="177"/>
      <c r="J102" s="118" t="str">
        <f>IF(OR(D102="",F102=""),"",(((HLOOKUP(D102,'Carrières et points'!$A$20:$AD$60,F102+2,FALSE)*'Carrières et points'!$C$7*'Carrières et points'!$C$9)+(HLOOKUP(D102,'Carrières et points'!$A$20:$AD$60,F102+2,FALSE)*'Carrières et points'!$C$13*'Carrières et points'!$C$15))*(1+'F0 - Données générales'!$I$4)+((HLOOKUP(D102,'Carrières et points'!$A$20:$AD$60,F102+2,FALSE)*'Carrières et points'!$C$7*'Carrières et points'!$C$9)+(HLOOKUP(D102,'Carrières et points'!$A$20:$AD$60,F102+2,FALSE)*'Carrières et points'!$C$13*'Carrières et points'!$C$15))/12*(1+'F0 - Données générales'!$L$13))*E102)</f>
        <v/>
      </c>
      <c r="K102" s="118" t="str">
        <f t="shared" si="48"/>
        <v/>
      </c>
      <c r="L102" s="109"/>
      <c r="M102" s="177"/>
      <c r="N102" s="118" t="str">
        <f t="shared" si="49"/>
        <v/>
      </c>
      <c r="O102" s="177"/>
      <c r="P102" s="177"/>
      <c r="Q102" s="177"/>
      <c r="R102" s="255" t="str">
        <f t="shared" si="50"/>
        <v/>
      </c>
      <c r="S102" s="120"/>
      <c r="T102" s="750" t="s">
        <v>57</v>
      </c>
      <c r="U102" s="750"/>
      <c r="V102" s="750"/>
      <c r="W102" s="750"/>
      <c r="X102" s="750"/>
      <c r="Y102" s="183">
        <f t="shared" ref="Y102:AG102" si="70">Y81+Y88+Y90+Y101</f>
        <v>0</v>
      </c>
      <c r="Z102" s="183">
        <f t="shared" si="70"/>
        <v>0</v>
      </c>
      <c r="AA102" s="184">
        <f t="shared" si="70"/>
        <v>0</v>
      </c>
      <c r="AB102" s="184">
        <f t="shared" si="70"/>
        <v>0</v>
      </c>
      <c r="AC102" s="184">
        <f t="shared" si="70"/>
        <v>0</v>
      </c>
      <c r="AD102" s="184">
        <f t="shared" si="70"/>
        <v>0</v>
      </c>
      <c r="AE102" s="184">
        <f t="shared" si="70"/>
        <v>0</v>
      </c>
      <c r="AF102" s="184">
        <f t="shared" si="70"/>
        <v>0</v>
      </c>
      <c r="AG102" s="185">
        <f t="shared" si="70"/>
        <v>0</v>
      </c>
      <c r="AH102" s="185" t="str">
        <f t="shared" si="53"/>
        <v/>
      </c>
      <c r="AI102" s="323" t="str">
        <f>IF(Y102=0,"",(SUMPRODUCT(($C$4:$C$253='F0 - Données générales'!$K$31)*($E$4:$E$253)*($F$4:$F$253)*($B$4:$B$253="8.2"))+SUMPRODUCT(($C$257:$C$281='F0 - Données générales'!$K$31)*($B$257:$B$281="8.2")*($E$257:$E$281)*($F$257:$F$281)))/(SUMIFS('F3 - Relevé du personnel'!$E$4:$E$281,'F3 - Relevé du personnel'!$C$4:$C$281,'F0 - Données générales'!$K$31,'F3 - Relevé du personnel'!$B$4:$B$281,"8.2")))</f>
        <v/>
      </c>
      <c r="AK102" s="750" t="s">
        <v>57</v>
      </c>
      <c r="AL102" s="750"/>
      <c r="AM102" s="750"/>
      <c r="AN102" s="750"/>
      <c r="AO102" s="750"/>
      <c r="AP102" s="183">
        <f t="shared" ref="AP102:AX102" si="71">AP81+AP88+AP90+AP101</f>
        <v>0</v>
      </c>
      <c r="AQ102" s="183">
        <f t="shared" si="71"/>
        <v>0</v>
      </c>
      <c r="AR102" s="184">
        <f t="shared" si="71"/>
        <v>0</v>
      </c>
      <c r="AS102" s="184">
        <f t="shared" si="71"/>
        <v>0</v>
      </c>
      <c r="AT102" s="184">
        <f t="shared" si="71"/>
        <v>0</v>
      </c>
      <c r="AU102" s="184">
        <f t="shared" si="71"/>
        <v>0</v>
      </c>
      <c r="AV102" s="184">
        <f t="shared" si="71"/>
        <v>0</v>
      </c>
      <c r="AW102" s="184">
        <f t="shared" si="71"/>
        <v>0</v>
      </c>
      <c r="AX102" s="185">
        <f t="shared" si="71"/>
        <v>0</v>
      </c>
      <c r="AY102" s="185" t="str">
        <f t="shared" si="58"/>
        <v/>
      </c>
      <c r="AZ102" s="186" t="str">
        <f>IF(AP102=0,"",(SUMPRODUCT(($C$4:$C$253='F0 - Données générales'!$K$31)*($E$4:$E$253)*($F$4:$F$253)*($B$4:$B$253="AUSC"))+SUMPRODUCT(($C$257:$C$281='F0 - Données générales'!$K$31)*($B$257:$B$281="AUSC")*($E$257:$E$281)*($F$257:$F$281)))/(SUMIFS('F3 - Relevé du personnel'!$E$4:$E$281,'F3 - Relevé du personnel'!$C$4:$C$281,'F0 - Données générales'!$K$31,'F3 - Relevé du personnel'!$B$4:$B$281,"AUSC")))</f>
        <v/>
      </c>
      <c r="BB102" s="760" t="s">
        <v>79</v>
      </c>
      <c r="BC102" s="761"/>
      <c r="BD102" s="13" t="s">
        <v>277</v>
      </c>
      <c r="BE102" s="758"/>
      <c r="BF102" s="759"/>
      <c r="BG102" s="45">
        <f>SUMIFS('F3 - Relevé du personnel'!$E$4:$E$281,'F3 - Relevé du personnel'!$D$4:$D$281,$BD102,'F3 - Relevé du personnel'!$C$4:$C$281,'F0 - Données générales'!$K$33)</f>
        <v>0</v>
      </c>
      <c r="BH102" s="259">
        <f>SUMIFS('F3 - Relevé du personnel'!$I$4:$I$281,'F3 - Relevé du personnel'!$D$4:$D$281,$BD102,'F3 - Relevé du personnel'!$C$4:$C$281,'F0 - Données générales'!$K$33)</f>
        <v>0</v>
      </c>
      <c r="BI102" s="259">
        <f>SUMIFS('F3 - Relevé du personnel'!$M$4:$M$281,'F3 - Relevé du personnel'!$D$4:$D$281,$BD102,'F3 - Relevé du personnel'!$C$4:$C$281,'F0 - Données générales'!$K$33)</f>
        <v>0</v>
      </c>
      <c r="BJ102" s="189">
        <f t="shared" si="66"/>
        <v>0</v>
      </c>
      <c r="BK102" s="259">
        <f>SUMIFS('F3 - Relevé du personnel'!$O$4:$O$281,'F3 - Relevé du personnel'!$D$4:$D$281,$BD102,'F3 - Relevé du personnel'!$C$4:$C$281,'F0 - Données générales'!$K$33)</f>
        <v>0</v>
      </c>
      <c r="BL102" s="259">
        <f>SUMIFS('F3 - Relevé du personnel'!$P$4:$P$281,'F3 - Relevé du personnel'!$D$4:$D$281,$BD102,'F3 - Relevé du personnel'!$C$4:$C$281,'F0 - Données générales'!$K$33)</f>
        <v>0</v>
      </c>
      <c r="BM102" s="259">
        <f>SUMIFS('F3 - Relevé du personnel'!$Q$4:$Q$281,'F3 - Relevé du personnel'!$D$4:$D$281,$BD102,'F3 - Relevé du personnel'!$C$4:$C$281,'F0 - Données générales'!$K$33)</f>
        <v>0</v>
      </c>
      <c r="BN102" s="48">
        <f t="shared" si="69"/>
        <v>0</v>
      </c>
      <c r="BO102" s="187" t="str">
        <f t="shared" si="67"/>
        <v/>
      </c>
      <c r="BP102" s="188" t="str">
        <f>IF(BG102=0,"",(SUMPRODUCT(($D$4:$D$253=BD102)*($C$4:$C$253='F0 - Données générales'!$K$33)*($E$4:$E$253)*($F$4:$F$253))+SUMPRODUCT(($D$257:$D$281=BD102)*($C$257:$C$281='F0 - Données générales'!$K$33)*($E$257:$E$281)*($F$257:$F$281)))/(SUMIFS('F3 - Relevé du personnel'!$E$4:$E$281,'F3 - Relevé du personnel'!$D$4:$D$281,$BD102,'F3 - Relevé du personnel'!$C$4:$C$281,'F0 - Données générales'!$K$33)))</f>
        <v/>
      </c>
      <c r="BS102" s="63"/>
      <c r="BT102" s="63"/>
      <c r="BU102" s="63"/>
      <c r="BV102" s="14"/>
    </row>
    <row r="103" spans="1:74" ht="15" customHeight="1" x14ac:dyDescent="0.3">
      <c r="A103" s="106">
        <v>100</v>
      </c>
      <c r="B103" s="324">
        <f>'F0 - Données générales'!$C$4</f>
        <v>7</v>
      </c>
      <c r="C103" s="106" t="s">
        <v>95</v>
      </c>
      <c r="D103" s="106"/>
      <c r="E103" s="107"/>
      <c r="F103" s="108"/>
      <c r="G103" s="109"/>
      <c r="H103" s="110">
        <f t="shared" si="47"/>
        <v>0</v>
      </c>
      <c r="I103" s="177"/>
      <c r="J103" s="118" t="str">
        <f>IF(OR(D103="",F103=""),"",(((HLOOKUP(D103,'Carrières et points'!$A$20:$AD$60,F103+2,FALSE)*'Carrières et points'!$C$7*'Carrières et points'!$C$9)+(HLOOKUP(D103,'Carrières et points'!$A$20:$AD$60,F103+2,FALSE)*'Carrières et points'!$C$13*'Carrières et points'!$C$15))*(1+'F0 - Données générales'!$I$4)+((HLOOKUP(D103,'Carrières et points'!$A$20:$AD$60,F103+2,FALSE)*'Carrières et points'!$C$7*'Carrières et points'!$C$9)+(HLOOKUP(D103,'Carrières et points'!$A$20:$AD$60,F103+2,FALSE)*'Carrières et points'!$C$13*'Carrières et points'!$C$15))/12*(1+'F0 - Données générales'!$L$13))*E103)</f>
        <v/>
      </c>
      <c r="K103" s="118" t="str">
        <f t="shared" si="48"/>
        <v/>
      </c>
      <c r="L103" s="109"/>
      <c r="M103" s="177"/>
      <c r="N103" s="118" t="str">
        <f t="shared" si="49"/>
        <v/>
      </c>
      <c r="O103" s="177"/>
      <c r="P103" s="177"/>
      <c r="Q103" s="177"/>
      <c r="R103" s="255" t="str">
        <f t="shared" si="50"/>
        <v/>
      </c>
      <c r="S103" s="120"/>
      <c r="T103" s="120"/>
      <c r="U103" s="120"/>
      <c r="V103" s="120"/>
      <c r="W103" s="120"/>
      <c r="X103" s="120"/>
      <c r="Y103" s="120"/>
      <c r="Z103" s="120"/>
      <c r="AA103" s="120"/>
      <c r="AB103" s="120"/>
      <c r="AC103" s="120"/>
      <c r="AD103" s="120"/>
      <c r="AE103" s="120"/>
      <c r="AF103" s="120"/>
      <c r="AG103" s="120"/>
      <c r="AH103" s="120"/>
      <c r="AI103" s="120"/>
      <c r="AK103" s="120"/>
      <c r="AL103" s="120"/>
      <c r="AM103" s="120"/>
      <c r="AN103" s="120"/>
      <c r="AO103" s="120"/>
      <c r="AP103" s="120"/>
      <c r="AQ103" s="120"/>
      <c r="AR103" s="120"/>
      <c r="AS103" s="120"/>
      <c r="AT103" s="120"/>
      <c r="AU103" s="120"/>
      <c r="AV103" s="120"/>
      <c r="AW103" s="120"/>
      <c r="AX103" s="120"/>
      <c r="AY103" s="120"/>
      <c r="AZ103" s="120"/>
      <c r="BB103" s="760" t="s">
        <v>65</v>
      </c>
      <c r="BC103" s="761"/>
      <c r="BD103" s="13" t="s">
        <v>278</v>
      </c>
      <c r="BE103" s="758"/>
      <c r="BF103" s="759"/>
      <c r="BG103" s="45">
        <f>SUMIFS('F3 - Relevé du personnel'!$E$4:$E$281,'F3 - Relevé du personnel'!$D$4:$D$281,$BD103,'F3 - Relevé du personnel'!$C$4:$C$281,'F0 - Données générales'!$K$33)</f>
        <v>0</v>
      </c>
      <c r="BH103" s="259">
        <f>SUMIFS('F3 - Relevé du personnel'!$I$4:$I$281,'F3 - Relevé du personnel'!$D$4:$D$281,$BD103,'F3 - Relevé du personnel'!$C$4:$C$281,'F0 - Données générales'!$K$33)</f>
        <v>0</v>
      </c>
      <c r="BI103" s="259">
        <f>SUMIFS('F3 - Relevé du personnel'!$M$4:$M$281,'F3 - Relevé du personnel'!$D$4:$D$281,$BD103,'F3 - Relevé du personnel'!$C$4:$C$281,'F0 - Données générales'!$K$33)</f>
        <v>0</v>
      </c>
      <c r="BJ103" s="189">
        <f t="shared" si="66"/>
        <v>0</v>
      </c>
      <c r="BK103" s="259">
        <f>SUMIFS('F3 - Relevé du personnel'!$O$4:$O$281,'F3 - Relevé du personnel'!$D$4:$D$281,$BD103,'F3 - Relevé du personnel'!$C$4:$C$281,'F0 - Données générales'!$K$33)</f>
        <v>0</v>
      </c>
      <c r="BL103" s="259">
        <f>SUMIFS('F3 - Relevé du personnel'!$P$4:$P$281,'F3 - Relevé du personnel'!$D$4:$D$281,$BD103,'F3 - Relevé du personnel'!$C$4:$C$281,'F0 - Données générales'!$K$33)</f>
        <v>0</v>
      </c>
      <c r="BM103" s="259">
        <f>SUMIFS('F3 - Relevé du personnel'!$Q$4:$Q$281,'F3 - Relevé du personnel'!$D$4:$D$281,$BD103,'F3 - Relevé du personnel'!$C$4:$C$281,'F0 - Données générales'!$K$33)</f>
        <v>0</v>
      </c>
      <c r="BN103" s="48">
        <f t="shared" si="69"/>
        <v>0</v>
      </c>
      <c r="BO103" s="187" t="str">
        <f t="shared" si="67"/>
        <v/>
      </c>
      <c r="BP103" s="188" t="str">
        <f>IF(BG103=0,"",(SUMPRODUCT(($D$4:$D$253=BD103)*($C$4:$C$253='F0 - Données générales'!$K$33)*($E$4:$E$253)*($F$4:$F$253))+SUMPRODUCT(($D$257:$D$281=BD103)*($C$257:$C$281='F0 - Données générales'!$K$33)*($E$257:$E$281)*($F$257:$F$281)))/(SUMIFS('F3 - Relevé du personnel'!$E$4:$E$281,'F3 - Relevé du personnel'!$D$4:$D$281,$BD103,'F3 - Relevé du personnel'!$C$4:$C$281,'F0 - Données générales'!$K$33)))</f>
        <v/>
      </c>
      <c r="BS103" s="63"/>
      <c r="BT103" s="63"/>
      <c r="BU103" s="63"/>
      <c r="BV103" s="14"/>
    </row>
    <row r="104" spans="1:74" ht="15" customHeight="1" x14ac:dyDescent="0.3">
      <c r="A104" s="106">
        <v>101</v>
      </c>
      <c r="B104" s="324">
        <f>'F0 - Données générales'!$C$4</f>
        <v>7</v>
      </c>
      <c r="C104" s="106" t="s">
        <v>95</v>
      </c>
      <c r="D104" s="106"/>
      <c r="E104" s="107"/>
      <c r="F104" s="108"/>
      <c r="G104" s="109"/>
      <c r="H104" s="110">
        <f t="shared" si="47"/>
        <v>0</v>
      </c>
      <c r="I104" s="177"/>
      <c r="J104" s="118" t="str">
        <f>IF(OR(D104="",F104=""),"",(((HLOOKUP(D104,'Carrières et points'!$A$20:$AD$60,F104+2,FALSE)*'Carrières et points'!$C$7*'Carrières et points'!$C$9)+(HLOOKUP(D104,'Carrières et points'!$A$20:$AD$60,F104+2,FALSE)*'Carrières et points'!$C$13*'Carrières et points'!$C$15))*(1+'F0 - Données générales'!$I$4)+((HLOOKUP(D104,'Carrières et points'!$A$20:$AD$60,F104+2,FALSE)*'Carrières et points'!$C$7*'Carrières et points'!$C$9)+(HLOOKUP(D104,'Carrières et points'!$A$20:$AD$60,F104+2,FALSE)*'Carrières et points'!$C$13*'Carrières et points'!$C$15))/12*(1+'F0 - Données générales'!$L$13))*E104)</f>
        <v/>
      </c>
      <c r="K104" s="118" t="str">
        <f t="shared" si="48"/>
        <v/>
      </c>
      <c r="L104" s="109"/>
      <c r="M104" s="177"/>
      <c r="N104" s="118" t="str">
        <f t="shared" si="49"/>
        <v/>
      </c>
      <c r="O104" s="177"/>
      <c r="P104" s="177"/>
      <c r="Q104" s="177"/>
      <c r="R104" s="255" t="str">
        <f t="shared" si="50"/>
        <v/>
      </c>
      <c r="S104" s="120"/>
      <c r="T104" s="1" t="s">
        <v>424</v>
      </c>
      <c r="U104" s="1"/>
      <c r="V104" s="1"/>
      <c r="W104"/>
      <c r="X104"/>
      <c r="Y104"/>
      <c r="Z104"/>
      <c r="AA104"/>
      <c r="AB104"/>
      <c r="AC104"/>
      <c r="AD104"/>
      <c r="AE104"/>
      <c r="AF104"/>
      <c r="AG104"/>
      <c r="AH104"/>
      <c r="AI104"/>
      <c r="AK104" s="1" t="s">
        <v>430</v>
      </c>
      <c r="AL104" s="1"/>
      <c r="AM104" s="1"/>
      <c r="AN104"/>
      <c r="AO104"/>
      <c r="AP104"/>
      <c r="AQ104"/>
      <c r="AR104"/>
      <c r="AS104"/>
      <c r="AT104"/>
      <c r="AU104"/>
      <c r="AV104"/>
      <c r="AW104"/>
      <c r="AX104"/>
      <c r="AY104"/>
      <c r="AZ104"/>
      <c r="BB104" s="760" t="s">
        <v>79</v>
      </c>
      <c r="BC104" s="761"/>
      <c r="BD104" s="13" t="s">
        <v>279</v>
      </c>
      <c r="BE104" s="758"/>
      <c r="BF104" s="759"/>
      <c r="BG104" s="45">
        <f>SUMIFS('F3 - Relevé du personnel'!$E$4:$E$281,'F3 - Relevé du personnel'!$D$4:$D$281,$BD104,'F3 - Relevé du personnel'!$C$4:$C$281,'F0 - Données générales'!$K$33)</f>
        <v>0</v>
      </c>
      <c r="BH104" s="259">
        <f>SUMIFS('F3 - Relevé du personnel'!$I$4:$I$281,'F3 - Relevé du personnel'!$D$4:$D$281,$BD104,'F3 - Relevé du personnel'!$C$4:$C$281,'F0 - Données générales'!$K$33)</f>
        <v>0</v>
      </c>
      <c r="BI104" s="259">
        <f>SUMIFS('F3 - Relevé du personnel'!$M$4:$M$281,'F3 - Relevé du personnel'!$D$4:$D$281,$BD104,'F3 - Relevé du personnel'!$C$4:$C$281,'F0 - Données générales'!$K$33)</f>
        <v>0</v>
      </c>
      <c r="BJ104" s="189">
        <f t="shared" si="66"/>
        <v>0</v>
      </c>
      <c r="BK104" s="259">
        <f>SUMIFS('F3 - Relevé du personnel'!$O$4:$O$281,'F3 - Relevé du personnel'!$D$4:$D$281,$BD104,'F3 - Relevé du personnel'!$C$4:$C$281,'F0 - Données générales'!$K$33)</f>
        <v>0</v>
      </c>
      <c r="BL104" s="259">
        <f>SUMIFS('F3 - Relevé du personnel'!$P$4:$P$281,'F3 - Relevé du personnel'!$D$4:$D$281,$BD104,'F3 - Relevé du personnel'!$C$4:$C$281,'F0 - Données générales'!$K$33)</f>
        <v>0</v>
      </c>
      <c r="BM104" s="259">
        <f>SUMIFS('F3 - Relevé du personnel'!$Q$4:$Q$281,'F3 - Relevé du personnel'!$D$4:$D$281,$BD104,'F3 - Relevé du personnel'!$C$4:$C$281,'F0 - Données générales'!$K$33)</f>
        <v>0</v>
      </c>
      <c r="BN104" s="48">
        <f t="shared" si="69"/>
        <v>0</v>
      </c>
      <c r="BO104" s="187" t="str">
        <f t="shared" si="67"/>
        <v/>
      </c>
      <c r="BP104" s="188" t="str">
        <f>IF(BG104=0,"",(SUMPRODUCT(($D$4:$D$253=BD104)*($C$4:$C$253='F0 - Données générales'!$K$33)*($E$4:$E$253)*($F$4:$F$253))+SUMPRODUCT(($D$257:$D$281=BD104)*($C$257:$C$281='F0 - Données générales'!$K$33)*($E$257:$E$281)*($F$257:$F$281)))/(SUMIFS('F3 - Relevé du personnel'!$E$4:$E$281,'F3 - Relevé du personnel'!$D$4:$D$281,$BD104,'F3 - Relevé du personnel'!$C$4:$C$281,'F0 - Données générales'!$K$33)))</f>
        <v/>
      </c>
      <c r="BS104" s="63"/>
      <c r="BT104" s="63"/>
      <c r="BU104" s="63"/>
      <c r="BV104" s="14"/>
    </row>
    <row r="105" spans="1:74" ht="15" customHeight="1" x14ac:dyDescent="0.3">
      <c r="A105" s="106">
        <v>102</v>
      </c>
      <c r="B105" s="324">
        <f>'F0 - Données générales'!$C$4</f>
        <v>7</v>
      </c>
      <c r="C105" s="106" t="s">
        <v>95</v>
      </c>
      <c r="D105" s="106"/>
      <c r="E105" s="107"/>
      <c r="F105" s="108"/>
      <c r="G105" s="109"/>
      <c r="H105" s="110">
        <f t="shared" si="47"/>
        <v>0</v>
      </c>
      <c r="I105" s="177"/>
      <c r="J105" s="118" t="str">
        <f>IF(OR(D105="",F105=""),"",(((HLOOKUP(D105,'Carrières et points'!$A$20:$AD$60,F105+2,FALSE)*'Carrières et points'!$C$7*'Carrières et points'!$C$9)+(HLOOKUP(D105,'Carrières et points'!$A$20:$AD$60,F105+2,FALSE)*'Carrières et points'!$C$13*'Carrières et points'!$C$15))*(1+'F0 - Données générales'!$I$4)+((HLOOKUP(D105,'Carrières et points'!$A$20:$AD$60,F105+2,FALSE)*'Carrières et points'!$C$7*'Carrières et points'!$C$9)+(HLOOKUP(D105,'Carrières et points'!$A$20:$AD$60,F105+2,FALSE)*'Carrières et points'!$C$13*'Carrières et points'!$C$15))/12*(1+'F0 - Données générales'!$L$13))*E105)</f>
        <v/>
      </c>
      <c r="K105" s="118" t="str">
        <f t="shared" si="48"/>
        <v/>
      </c>
      <c r="L105" s="109"/>
      <c r="M105" s="177"/>
      <c r="N105" s="118" t="str">
        <f t="shared" si="49"/>
        <v/>
      </c>
      <c r="O105" s="177"/>
      <c r="P105" s="177"/>
      <c r="Q105" s="177"/>
      <c r="R105" s="255" t="str">
        <f t="shared" si="50"/>
        <v/>
      </c>
      <c r="S105" s="120"/>
      <c r="T105" s="747" t="s">
        <v>58</v>
      </c>
      <c r="U105" s="747"/>
      <c r="V105" s="747" t="s">
        <v>55</v>
      </c>
      <c r="W105" s="747"/>
      <c r="X105" s="747"/>
      <c r="Y105" s="298" t="s">
        <v>403</v>
      </c>
      <c r="Z105" s="298" t="s">
        <v>404</v>
      </c>
      <c r="AA105" s="298" t="s">
        <v>299</v>
      </c>
      <c r="AB105" s="298" t="s">
        <v>304</v>
      </c>
      <c r="AC105" s="298" t="s">
        <v>733</v>
      </c>
      <c r="AD105" s="298" t="s">
        <v>284</v>
      </c>
      <c r="AE105" s="298" t="s">
        <v>323</v>
      </c>
      <c r="AF105" s="298" t="s">
        <v>60</v>
      </c>
      <c r="AG105" s="298" t="s">
        <v>734</v>
      </c>
      <c r="AH105" s="298" t="s">
        <v>735</v>
      </c>
      <c r="AI105" s="298" t="s">
        <v>313</v>
      </c>
      <c r="AK105" s="747" t="s">
        <v>58</v>
      </c>
      <c r="AL105" s="747"/>
      <c r="AM105" s="747" t="s">
        <v>55</v>
      </c>
      <c r="AN105" s="747"/>
      <c r="AO105" s="747"/>
      <c r="AP105" s="298" t="s">
        <v>403</v>
      </c>
      <c r="AQ105" s="298" t="s">
        <v>404</v>
      </c>
      <c r="AR105" s="298" t="s">
        <v>299</v>
      </c>
      <c r="AS105" s="298" t="s">
        <v>304</v>
      </c>
      <c r="AT105" s="298" t="s">
        <v>733</v>
      </c>
      <c r="AU105" s="298" t="s">
        <v>284</v>
      </c>
      <c r="AV105" s="298" t="s">
        <v>323</v>
      </c>
      <c r="AW105" s="298" t="s">
        <v>60</v>
      </c>
      <c r="AX105" s="298" t="s">
        <v>734</v>
      </c>
      <c r="AY105" s="298" t="s">
        <v>735</v>
      </c>
      <c r="AZ105" s="298" t="s">
        <v>313</v>
      </c>
      <c r="BB105" s="760" t="s">
        <v>65</v>
      </c>
      <c r="BC105" s="761"/>
      <c r="BD105" s="13" t="s">
        <v>280</v>
      </c>
      <c r="BE105" s="758"/>
      <c r="BF105" s="759"/>
      <c r="BG105" s="45">
        <f>SUMIFS('F3 - Relevé du personnel'!$E$4:$E$281,'F3 - Relevé du personnel'!$D$4:$D$281,$BD105,'F3 - Relevé du personnel'!$C$4:$C$281,'F0 - Données générales'!$K$33)</f>
        <v>0</v>
      </c>
      <c r="BH105" s="259">
        <f>SUMIFS('F3 - Relevé du personnel'!$I$4:$I$281,'F3 - Relevé du personnel'!$D$4:$D$281,$BD105,'F3 - Relevé du personnel'!$C$4:$C$281,'F0 - Données générales'!$K$33)</f>
        <v>0</v>
      </c>
      <c r="BI105" s="259">
        <f>SUMIFS('F3 - Relevé du personnel'!$M$4:$M$281,'F3 - Relevé du personnel'!$D$4:$D$281,$BD105,'F3 - Relevé du personnel'!$C$4:$C$281,'F0 - Données générales'!$K$33)</f>
        <v>0</v>
      </c>
      <c r="BJ105" s="189">
        <f t="shared" si="66"/>
        <v>0</v>
      </c>
      <c r="BK105" s="259">
        <f>SUMIFS('F3 - Relevé du personnel'!$O$4:$O$281,'F3 - Relevé du personnel'!$D$4:$D$281,$BD105,'F3 - Relevé du personnel'!$C$4:$C$281,'F0 - Données générales'!$K$33)</f>
        <v>0</v>
      </c>
      <c r="BL105" s="259">
        <f>SUMIFS('F3 - Relevé du personnel'!$P$4:$P$281,'F3 - Relevé du personnel'!$D$4:$D$281,$BD105,'F3 - Relevé du personnel'!$C$4:$C$281,'F0 - Données générales'!$K$33)</f>
        <v>0</v>
      </c>
      <c r="BM105" s="259">
        <f>SUMIFS('F3 - Relevé du personnel'!$Q$4:$Q$281,'F3 - Relevé du personnel'!$D$4:$D$281,$BD105,'F3 - Relevé du personnel'!$C$4:$C$281,'F0 - Données générales'!$K$33)</f>
        <v>0</v>
      </c>
      <c r="BN105" s="48">
        <f t="shared" si="69"/>
        <v>0</v>
      </c>
      <c r="BO105" s="187" t="str">
        <f t="shared" si="67"/>
        <v/>
      </c>
      <c r="BP105" s="188" t="str">
        <f>IF(BG105=0,"",(SUMPRODUCT(($D$4:$D$253=BD105)*($C$4:$C$253='F0 - Données générales'!$K$33)*($E$4:$E$253)*($F$4:$F$253))+SUMPRODUCT(($D$257:$D$281=BD105)*($C$257:$C$281='F0 - Données générales'!$K$33)*($E$257:$E$281)*($F$257:$F$281)))/(SUMIFS('F3 - Relevé du personnel'!$E$4:$E$281,'F3 - Relevé du personnel'!$D$4:$D$281,$BD105,'F3 - Relevé du personnel'!$C$4:$C$281,'F0 - Données générales'!$K$33)))</f>
        <v/>
      </c>
      <c r="BS105" s="63"/>
      <c r="BT105" s="63"/>
      <c r="BU105" s="63"/>
      <c r="BV105" s="14"/>
    </row>
    <row r="106" spans="1:74" ht="15" customHeight="1" x14ac:dyDescent="0.3">
      <c r="A106" s="106">
        <v>103</v>
      </c>
      <c r="B106" s="324">
        <f>'F0 - Données générales'!$C$4</f>
        <v>7</v>
      </c>
      <c r="C106" s="106" t="s">
        <v>95</v>
      </c>
      <c r="D106" s="106"/>
      <c r="E106" s="107"/>
      <c r="F106" s="108"/>
      <c r="G106" s="109"/>
      <c r="H106" s="110">
        <f t="shared" si="47"/>
        <v>0</v>
      </c>
      <c r="I106" s="177"/>
      <c r="J106" s="118" t="str">
        <f>IF(OR(D106="",F106=""),"",(((HLOOKUP(D106,'Carrières et points'!$A$20:$AD$60,F106+2,FALSE)*'Carrières et points'!$C$7*'Carrières et points'!$C$9)+(HLOOKUP(D106,'Carrières et points'!$A$20:$AD$60,F106+2,FALSE)*'Carrières et points'!$C$13*'Carrières et points'!$C$15))*(1+'F0 - Données générales'!$I$4)+((HLOOKUP(D106,'Carrières et points'!$A$20:$AD$60,F106+2,FALSE)*'Carrières et points'!$C$7*'Carrières et points'!$C$9)+(HLOOKUP(D106,'Carrières et points'!$A$20:$AD$60,F106+2,FALSE)*'Carrières et points'!$C$13*'Carrières et points'!$C$15))/12*(1+'F0 - Données générales'!$L$13))*E106)</f>
        <v/>
      </c>
      <c r="K106" s="118" t="str">
        <f t="shared" si="48"/>
        <v/>
      </c>
      <c r="L106" s="109"/>
      <c r="M106" s="177"/>
      <c r="N106" s="118" t="str">
        <f t="shared" si="49"/>
        <v/>
      </c>
      <c r="O106" s="177"/>
      <c r="P106" s="177"/>
      <c r="Q106" s="177"/>
      <c r="R106" s="255" t="str">
        <f t="shared" si="50"/>
        <v/>
      </c>
      <c r="S106" s="120"/>
      <c r="T106" s="742" t="s">
        <v>61</v>
      </c>
      <c r="U106" s="742"/>
      <c r="V106" s="26" t="s">
        <v>62</v>
      </c>
      <c r="W106" s="748" t="s">
        <v>63</v>
      </c>
      <c r="X106" s="748"/>
      <c r="Y106" s="181">
        <f>SUMIFS('F3 - Relevé du personnel'!$E$4:$E$281,'F3 - Relevé du personnel'!$D$4:$D$281,$V106,'F3 - Relevé du personnel'!$C$4:$C$281,'F0 - Données générales'!$K$31,'F3 - Relevé du personnel'!$B$4:$B$281,"8.3")</f>
        <v>0</v>
      </c>
      <c r="Z106" s="181">
        <f>SUMIFS('F3 - Relevé du personnel'!$H$4:$H$281,'F3 - Relevé du personnel'!$D$4:$D$281,$V106,'F3 - Relevé du personnel'!$C$4:$C$281,'F0 - Données générales'!$K$31,'F3 - Relevé du personnel'!$B$4:$B$281,"8.3")</f>
        <v>0</v>
      </c>
      <c r="AA106" s="256">
        <f>SUMIFS('F3 - Relevé du personnel'!$I$4:$I$281,'F3 - Relevé du personnel'!$D$4:$D$281,$V106,'F3 - Relevé du personnel'!$C$4:$C$281,'F0 - Données générales'!$K$31,'F3 - Relevé du personnel'!$B$4:$B$281,"8.3")</f>
        <v>0</v>
      </c>
      <c r="AB106" s="256">
        <f>SUMIFS('F3 - Relevé du personnel'!$M$4:$M$281,'F3 - Relevé du personnel'!$D$4:$D$281,$V106,'F3 - Relevé du personnel'!$C$4:$C$281,'F0 - Données générales'!$K$31,'F3 - Relevé du personnel'!$B$4:$B$281,"8.3")</f>
        <v>0</v>
      </c>
      <c r="AC106" s="196">
        <f t="shared" ref="AC106:AC135" si="72">(AA106+AB106)</f>
        <v>0</v>
      </c>
      <c r="AD106" s="256">
        <f>SUMIFS('F3 - Relevé du personnel'!$O$4:$O$281,'F3 - Relevé du personnel'!$D$4:$D$281,$V106,'F3 - Relevé du personnel'!$C$4:$C$281,'F0 - Données générales'!$K$31,'F3 - Relevé du personnel'!$B$4:$B$281,"8.3")</f>
        <v>0</v>
      </c>
      <c r="AE106" s="256">
        <f>SUMIFS('F3 - Relevé du personnel'!$P$4:$P$281,'F3 - Relevé du personnel'!$D$4:$D$281,$V106,'F3 - Relevé du personnel'!$C$4:$C$281,'F0 - Données générales'!$K$31,'F3 - Relevé du personnel'!$B$4:$B$281,"8.3")</f>
        <v>0</v>
      </c>
      <c r="AF106" s="256">
        <f>SUMIFS('F3 - Relevé du personnel'!$Q$4:$Q$281,'F3 - Relevé du personnel'!$D$4:$D$281,$V106,'F3 - Relevé du personnel'!$C$4:$C$281,'F0 - Données générales'!$K$31,'F3 - Relevé du personnel'!$B$4:$B$281,"8.3")</f>
        <v>0</v>
      </c>
      <c r="AG106" s="182">
        <f t="shared" ref="AG106:AG135" si="73">AA106+AB106-SUM(AD106:AF106)</f>
        <v>0</v>
      </c>
      <c r="AH106" s="197" t="str">
        <f>IF(Y106=0,"",(AG106)/Y106)</f>
        <v/>
      </c>
      <c r="AI106" s="198" t="str">
        <f>IF(Y106=0,"",(SUMPRODUCT(($D$4:$D$253=V106)*($C$4:$C$253='F0 - Données générales'!$K$31)*($E$4:$E$253)*($F$4:$F$253)*($B$4:$B$253="8.3"))+SUMPRODUCT(($D$257:$D$281=V106)*($C$257:$C$281='F0 - Données générales'!$K$31)*($B$257:$B$281="8.3")*($E$257:$E$281)*($F$257:$F$281)))/(SUMIFS('F3 - Relevé du personnel'!$E$4:$E$281,'F3 - Relevé du personnel'!$D$4:$D$281,$V106,'F3 - Relevé du personnel'!$C$4:$C$281,'F0 - Données générales'!$K$31,'F3 - Relevé du personnel'!$B$4:$B$281,"8.3")))</f>
        <v/>
      </c>
      <c r="AK106" s="742" t="s">
        <v>61</v>
      </c>
      <c r="AL106" s="742"/>
      <c r="AM106" s="26" t="s">
        <v>62</v>
      </c>
      <c r="AN106" s="748" t="s">
        <v>63</v>
      </c>
      <c r="AO106" s="748"/>
      <c r="AP106" s="181">
        <f>SUMIFS('F3 - Relevé du personnel'!$E$4:$E$281,'F3 - Relevé du personnel'!$D$4:$D$281,$AM106,'F3 - Relevé du personnel'!$C$4:$C$281,'F0 - Données générales'!$K$31,'F3 - Relevé du personnel'!$B$4:$B$281,"0-3 ans")</f>
        <v>0</v>
      </c>
      <c r="AQ106" s="181">
        <f>SUMIFS('F3 - Relevé du personnel'!$H$4:$H$281,'F3 - Relevé du personnel'!$D$4:$D$281,$AM106,'F3 - Relevé du personnel'!$C$4:$C$281,'F0 - Données générales'!$K$31,'F3 - Relevé du personnel'!$B$4:$B$281,"0-3 ans")</f>
        <v>0</v>
      </c>
      <c r="AR106" s="256">
        <f>SUMIFS('F3 - Relevé du personnel'!$I$4:$I$281,'F3 - Relevé du personnel'!$D$4:$D$281,$AM106,'F3 - Relevé du personnel'!$C$4:$C$281,'F0 - Données générales'!$K$31,'F3 - Relevé du personnel'!$B$4:$B$281,"0-3 ans")</f>
        <v>0</v>
      </c>
      <c r="AS106" s="256">
        <f>SUMIFS('F3 - Relevé du personnel'!$M$4:$M$281,'F3 - Relevé du personnel'!$D$4:$D$281,$AM106,'F3 - Relevé du personnel'!$C$4:$C$281,'F0 - Données générales'!$K$31,'F3 - Relevé du personnel'!$B$4:$B$281,"0-3 ans")</f>
        <v>0</v>
      </c>
      <c r="AT106" s="196">
        <f>(AR106+AS106)</f>
        <v>0</v>
      </c>
      <c r="AU106" s="256">
        <f>SUMIFS('F3 - Relevé du personnel'!$O$4:$O$281,'F3 - Relevé du personnel'!$D$4:$D$281,$AM106,'F3 - Relevé du personnel'!$C$4:$C$281,'F0 - Données générales'!$K$31,'F3 - Relevé du personnel'!$B$4:$B$281,"0-3 ans")</f>
        <v>0</v>
      </c>
      <c r="AV106" s="256">
        <f>SUMIFS('F3 - Relevé du personnel'!$P$4:$P$281,'F3 - Relevé du personnel'!$D$4:$D$281,$AM106,'F3 - Relevé du personnel'!$C$4:$C$281,'F0 - Données générales'!$K$31,'F3 - Relevé du personnel'!$B$4:$B$281,"0-3 ans")</f>
        <v>0</v>
      </c>
      <c r="AW106" s="256">
        <f>SUMIFS('F3 - Relevé du personnel'!$Q$4:$Q$281,'F3 - Relevé du personnel'!$D$4:$D$281,$AM106,'F3 - Relevé du personnel'!$C$4:$C$281,'F0 - Données générales'!$K$31,'F3 - Relevé du personnel'!$B$4:$B$281,"0-3 ans")</f>
        <v>0</v>
      </c>
      <c r="AX106" s="182">
        <f>AR106+AS106-SUM(AU106:AW106)</f>
        <v>0</v>
      </c>
      <c r="AY106" s="197" t="str">
        <f>IF(AP106=0,"",(AX106)/AP106)</f>
        <v/>
      </c>
      <c r="AZ106" s="198" t="str">
        <f>IF(AP106=0,"",(SUMPRODUCT(($D$4:$D$253=AM106)*($C$4:$C$253='F0 - Données générales'!$K$31)*($E$4:$E$253)*($F$4:$F$253)*($B$4:$B$253="0-3 ans"))+SUMPRODUCT(($D$257:$D$281=AM106)*($C$257:$C$281='F0 - Données générales'!$K$31)*($B$257:$B$281="0-3 ans")*($E$257:$E$281)*($F$257:$F$281)))/(SUMIFS('F3 - Relevé du personnel'!$E$4:$E$281,'F3 - Relevé du personnel'!$D$4:$D$281,$AM106,'F3 - Relevé du personnel'!$C$4:$C$281,'F0 - Données générales'!$K$31,'F3 - Relevé du personnel'!$B$4:$B$281,"0-3 ans")))</f>
        <v/>
      </c>
      <c r="BB106" s="760" t="s">
        <v>64</v>
      </c>
      <c r="BC106" s="761"/>
      <c r="BD106" s="13" t="s">
        <v>97</v>
      </c>
      <c r="BE106" s="758"/>
      <c r="BF106" s="759"/>
      <c r="BG106" s="45">
        <f>SUMIFS('F3 - Relevé du personnel'!$E$4:$E$281,'F3 - Relevé du personnel'!$D$4:$D$281,$BD106,'F3 - Relevé du personnel'!$C$4:$C$281,'F0 - Données générales'!$K$33)</f>
        <v>0</v>
      </c>
      <c r="BH106" s="259">
        <f>SUMIFS('F3 - Relevé du personnel'!$I$4:$I$281,'F3 - Relevé du personnel'!$D$4:$D$281,$BD106,'F3 - Relevé du personnel'!$C$4:$C$281,'F0 - Données générales'!$K$33)</f>
        <v>0</v>
      </c>
      <c r="BI106" s="259">
        <f>SUMIFS('F3 - Relevé du personnel'!$M$4:$M$281,'F3 - Relevé du personnel'!$D$4:$D$281,$BD106,'F3 - Relevé du personnel'!$C$4:$C$281,'F0 - Données générales'!$K$33)</f>
        <v>0</v>
      </c>
      <c r="BJ106" s="189">
        <f t="shared" si="66"/>
        <v>0</v>
      </c>
      <c r="BK106" s="259">
        <f>SUMIFS('F3 - Relevé du personnel'!$O$4:$O$281,'F3 - Relevé du personnel'!$D$4:$D$281,$BD106,'F3 - Relevé du personnel'!$C$4:$C$281,'F0 - Données générales'!$K$33)</f>
        <v>0</v>
      </c>
      <c r="BL106" s="259">
        <f>SUMIFS('F3 - Relevé du personnel'!$P$4:$P$281,'F3 - Relevé du personnel'!$D$4:$D$281,$BD106,'F3 - Relevé du personnel'!$C$4:$C$281,'F0 - Données générales'!$K$33)</f>
        <v>0</v>
      </c>
      <c r="BM106" s="259">
        <f>SUMIFS('F3 - Relevé du personnel'!$Q$4:$Q$281,'F3 - Relevé du personnel'!$D$4:$D$281,$BD106,'F3 - Relevé du personnel'!$C$4:$C$281,'F0 - Données générales'!$K$33)</f>
        <v>0</v>
      </c>
      <c r="BN106" s="48">
        <f t="shared" si="69"/>
        <v>0</v>
      </c>
      <c r="BO106" s="187" t="str">
        <f t="shared" si="67"/>
        <v/>
      </c>
      <c r="BP106" s="188" t="str">
        <f>IF(BG106=0,"",(SUMPRODUCT(($D$4:$D$253=BD106)*($C$4:$C$253='F0 - Données générales'!$K$33)*($E$4:$E$253)*($F$4:$F$253))+SUMPRODUCT(($D$257:$D$281=BD106)*($C$257:$C$281='F0 - Données générales'!$K$33)*($E$257:$E$281)*($F$257:$F$281)))/(SUMIFS('F3 - Relevé du personnel'!$E$4:$E$281,'F3 - Relevé du personnel'!$D$4:$D$281,$BD106,'F3 - Relevé du personnel'!$C$4:$C$281,'F0 - Données générales'!$K$33)))</f>
        <v/>
      </c>
      <c r="BS106" s="63"/>
      <c r="BT106" s="63"/>
      <c r="BU106" s="63"/>
      <c r="BV106" s="14"/>
    </row>
    <row r="107" spans="1:74" ht="15" customHeight="1" x14ac:dyDescent="0.3">
      <c r="A107" s="106">
        <v>104</v>
      </c>
      <c r="B107" s="324">
        <f>'F0 - Données générales'!$C$4</f>
        <v>7</v>
      </c>
      <c r="C107" s="106" t="s">
        <v>95</v>
      </c>
      <c r="D107" s="106"/>
      <c r="E107" s="107"/>
      <c r="F107" s="108"/>
      <c r="G107" s="109"/>
      <c r="H107" s="110">
        <f t="shared" si="47"/>
        <v>0</v>
      </c>
      <c r="I107" s="177"/>
      <c r="J107" s="118" t="str">
        <f>IF(OR(D107="",F107=""),"",(((HLOOKUP(D107,'Carrières et points'!$A$20:$AD$60,F107+2,FALSE)*'Carrières et points'!$C$7*'Carrières et points'!$C$9)+(HLOOKUP(D107,'Carrières et points'!$A$20:$AD$60,F107+2,FALSE)*'Carrières et points'!$C$13*'Carrières et points'!$C$15))*(1+'F0 - Données générales'!$I$4)+((HLOOKUP(D107,'Carrières et points'!$A$20:$AD$60,F107+2,FALSE)*'Carrières et points'!$C$7*'Carrières et points'!$C$9)+(HLOOKUP(D107,'Carrières et points'!$A$20:$AD$60,F107+2,FALSE)*'Carrières et points'!$C$13*'Carrières et points'!$C$15))/12*(1+'F0 - Données générales'!$L$13))*E107)</f>
        <v/>
      </c>
      <c r="K107" s="118" t="str">
        <f t="shared" si="48"/>
        <v/>
      </c>
      <c r="L107" s="109"/>
      <c r="M107" s="177"/>
      <c r="N107" s="118" t="str">
        <f t="shared" si="49"/>
        <v/>
      </c>
      <c r="O107" s="177"/>
      <c r="P107" s="177"/>
      <c r="Q107" s="177"/>
      <c r="R107" s="255" t="str">
        <f t="shared" si="50"/>
        <v/>
      </c>
      <c r="S107" s="120"/>
      <c r="T107" s="742" t="s">
        <v>65</v>
      </c>
      <c r="U107" s="742"/>
      <c r="V107" s="26" t="s">
        <v>66</v>
      </c>
      <c r="W107" s="741" t="s">
        <v>67</v>
      </c>
      <c r="X107" s="741"/>
      <c r="Y107" s="181">
        <f>SUMIFS('F3 - Relevé du personnel'!$E$4:$E$281,'F3 - Relevé du personnel'!$D$4:$D$281,$V107,'F3 - Relevé du personnel'!$C$4:$C$281,'F0 - Données générales'!$K$31,'F3 - Relevé du personnel'!$B$4:$B$281,"8.3")</f>
        <v>0</v>
      </c>
      <c r="Z107" s="181">
        <f>SUMIFS('F3 - Relevé du personnel'!$H$4:$H$281,'F3 - Relevé du personnel'!$D$4:$D$281,$V107,'F3 - Relevé du personnel'!$C$4:$C$281,'F0 - Données générales'!$K$31,'F3 - Relevé du personnel'!$B$4:$B$281,"8.3")</f>
        <v>0</v>
      </c>
      <c r="AA107" s="256">
        <f>SUMIFS('F3 - Relevé du personnel'!$I$4:$I$281,'F3 - Relevé du personnel'!$D$4:$D$281,$V107,'F3 - Relevé du personnel'!$C$4:$C$281,'F0 - Données générales'!$K$31,'F3 - Relevé du personnel'!$B$4:$B$281,"8.3")</f>
        <v>0</v>
      </c>
      <c r="AB107" s="256">
        <f>SUMIFS('F3 - Relevé du personnel'!$M$4:$M$281,'F3 - Relevé du personnel'!$D$4:$D$281,$V107,'F3 - Relevé du personnel'!$C$4:$C$281,'F0 - Données générales'!$K$31,'F3 - Relevé du personnel'!$B$4:$B$281,"8.3")</f>
        <v>0</v>
      </c>
      <c r="AC107" s="196">
        <f t="shared" si="72"/>
        <v>0</v>
      </c>
      <c r="AD107" s="256">
        <f>SUMIFS('F3 - Relevé du personnel'!$O$4:$O$281,'F3 - Relevé du personnel'!$D$4:$D$281,$V107,'F3 - Relevé du personnel'!$C$4:$C$281,'F0 - Données générales'!$K$31,'F3 - Relevé du personnel'!$B$4:$B$281,"8.3")</f>
        <v>0</v>
      </c>
      <c r="AE107" s="256">
        <f>SUMIFS('F3 - Relevé du personnel'!$P$4:$P$281,'F3 - Relevé du personnel'!$D$4:$D$281,$V107,'F3 - Relevé du personnel'!$C$4:$C$281,'F0 - Données générales'!$K$31,'F3 - Relevé du personnel'!$B$4:$B$281,"8.3")</f>
        <v>0</v>
      </c>
      <c r="AF107" s="256">
        <f>SUMIFS('F3 - Relevé du personnel'!$Q$4:$Q$281,'F3 - Relevé du personnel'!$D$4:$D$281,$V107,'F3 - Relevé du personnel'!$C$4:$C$281,'F0 - Données générales'!$K$31,'F3 - Relevé du personnel'!$B$4:$B$281,"8.3")</f>
        <v>0</v>
      </c>
      <c r="AG107" s="182">
        <f t="shared" si="73"/>
        <v>0</v>
      </c>
      <c r="AH107" s="197" t="str">
        <f t="shared" ref="AH107:AH136" si="74">IF(Y107=0,"",(AG107)/Y107)</f>
        <v/>
      </c>
      <c r="AI107" s="198" t="str">
        <f>IF(Y107=0,"",(SUMPRODUCT(($D$4:$D$253=V107)*($C$4:$C$253='F0 - Données générales'!$K$31)*($E$4:$E$253)*($F$4:$F$253)*($B$4:$B$253="8.3"))+SUMPRODUCT(($D$257:$D$281=V107)*($C$257:$C$281='F0 - Données générales'!$K$31)*($B$257:$B$281="8.3")*($E$257:$E$281)*($F$257:$F$281)))/(SUMIFS('F3 - Relevé du personnel'!$E$4:$E$281,'F3 - Relevé du personnel'!$D$4:$D$281,$V107,'F3 - Relevé du personnel'!$C$4:$C$281,'F0 - Données générales'!$K$31,'F3 - Relevé du personnel'!$B$4:$B$281,"8.3")))</f>
        <v/>
      </c>
      <c r="AK107" s="742" t="s">
        <v>65</v>
      </c>
      <c r="AL107" s="742"/>
      <c r="AM107" s="26" t="s">
        <v>66</v>
      </c>
      <c r="AN107" s="741" t="s">
        <v>67</v>
      </c>
      <c r="AO107" s="741"/>
      <c r="AP107" s="181">
        <f>SUMIFS('F3 - Relevé du personnel'!$E$4:$E$281,'F3 - Relevé du personnel'!$D$4:$D$281,$AM107,'F3 - Relevé du personnel'!$C$4:$C$281,'F0 - Données générales'!$K$31,'F3 - Relevé du personnel'!$B$4:$B$281,"0-3 ans")</f>
        <v>0</v>
      </c>
      <c r="AQ107" s="181">
        <f>SUMIFS('F3 - Relevé du personnel'!$H$4:$H$281,'F3 - Relevé du personnel'!$D$4:$D$281,$AM107,'F3 - Relevé du personnel'!$C$4:$C$281,'F0 - Données générales'!$K$31,'F3 - Relevé du personnel'!$B$4:$B$281,"0-3 ans")</f>
        <v>0</v>
      </c>
      <c r="AR107" s="256">
        <f>SUMIFS('F3 - Relevé du personnel'!$I$4:$I$281,'F3 - Relevé du personnel'!$D$4:$D$281,$AM107,'F3 - Relevé du personnel'!$C$4:$C$281,'F0 - Données générales'!$K$31,'F3 - Relevé du personnel'!$B$4:$B$281,"0-3 ans")</f>
        <v>0</v>
      </c>
      <c r="AS107" s="256">
        <f>SUMIFS('F3 - Relevé du personnel'!$M$4:$M$281,'F3 - Relevé du personnel'!$D$4:$D$281,$AM107,'F3 - Relevé du personnel'!$C$4:$C$281,'F0 - Données générales'!$K$31,'F3 - Relevé du personnel'!$B$4:$B$281,"0-3 ans")</f>
        <v>0</v>
      </c>
      <c r="AT107" s="196">
        <f t="shared" ref="AT107:AT114" si="75">(AR107+AS107)</f>
        <v>0</v>
      </c>
      <c r="AU107" s="256">
        <f>SUMIFS('F3 - Relevé du personnel'!$O$4:$O$281,'F3 - Relevé du personnel'!$D$4:$D$281,$AM107,'F3 - Relevé du personnel'!$C$4:$C$281,'F0 - Données générales'!$K$31,'F3 - Relevé du personnel'!$B$4:$B$281,"0-3 ans")</f>
        <v>0</v>
      </c>
      <c r="AV107" s="256">
        <f>SUMIFS('F3 - Relevé du personnel'!$P$4:$P$281,'F3 - Relevé du personnel'!$D$4:$D$281,$AM107,'F3 - Relevé du personnel'!$C$4:$C$281,'F0 - Données générales'!$K$31,'F3 - Relevé du personnel'!$B$4:$B$281,"0-3 ans")</f>
        <v>0</v>
      </c>
      <c r="AW107" s="256">
        <f>SUMIFS('F3 - Relevé du personnel'!$Q$4:$Q$281,'F3 - Relevé du personnel'!$D$4:$D$281,$AM107,'F3 - Relevé du personnel'!$C$4:$C$281,'F0 - Données générales'!$K$31,'F3 - Relevé du personnel'!$B$4:$B$281,"0-3 ans")</f>
        <v>0</v>
      </c>
      <c r="AX107" s="182">
        <f t="shared" ref="AX107:AX114" si="76">AR107+AS107-SUM(AU107:AW107)</f>
        <v>0</v>
      </c>
      <c r="AY107" s="197" t="str">
        <f t="shared" ref="AY107:AY114" si="77">IF(AP107=0,"",(AX107)/AP107)</f>
        <v/>
      </c>
      <c r="AZ107" s="198" t="str">
        <f>IF(AP107=0,"",(SUMPRODUCT(($D$4:$D$253=AM107)*($C$4:$C$253='F0 - Données générales'!$K$31)*($E$4:$E$253)*($F$4:$F$253)*($B$4:$B$253="0-3 ans"))+SUMPRODUCT(($D$257:$D$281=AM107)*($C$257:$C$281='F0 - Données générales'!$K$31)*($B$257:$B$281="0-3 ans")*($E$257:$E$281)*($F$257:$F$281)))/(SUMIFS('F3 - Relevé du personnel'!$E$4:$E$281,'F3 - Relevé du personnel'!$D$4:$D$281,$AM107,'F3 - Relevé du personnel'!$C$4:$C$281,'F0 - Données générales'!$K$31,'F3 - Relevé du personnel'!$B$4:$B$281,"0-3 ans")))</f>
        <v/>
      </c>
      <c r="BB107" s="760" t="s">
        <v>61</v>
      </c>
      <c r="BC107" s="761"/>
      <c r="BD107" s="13" t="s">
        <v>98</v>
      </c>
      <c r="BE107" s="758"/>
      <c r="BF107" s="759"/>
      <c r="BG107" s="45">
        <f>SUMIFS('F3 - Relevé du personnel'!$E$4:$E$281,'F3 - Relevé du personnel'!$D$4:$D$281,$BD107,'F3 - Relevé du personnel'!$C$4:$C$281,'F0 - Données générales'!$K$33)</f>
        <v>0</v>
      </c>
      <c r="BH107" s="259">
        <f>SUMIFS('F3 - Relevé du personnel'!$I$4:$I$281,'F3 - Relevé du personnel'!$D$4:$D$281,$BD107,'F3 - Relevé du personnel'!$C$4:$C$281,'F0 - Données générales'!$K$33)</f>
        <v>0</v>
      </c>
      <c r="BI107" s="259">
        <f>SUMIFS('F3 - Relevé du personnel'!$M$4:$M$281,'F3 - Relevé du personnel'!$D$4:$D$281,$BD107,'F3 - Relevé du personnel'!$C$4:$C$281,'F0 - Données générales'!$K$33)</f>
        <v>0</v>
      </c>
      <c r="BJ107" s="189">
        <f t="shared" si="66"/>
        <v>0</v>
      </c>
      <c r="BK107" s="259">
        <f>SUMIFS('F3 - Relevé du personnel'!$O$4:$O$281,'F3 - Relevé du personnel'!$D$4:$D$281,$BD107,'F3 - Relevé du personnel'!$C$4:$C$281,'F0 - Données générales'!$K$33)</f>
        <v>0</v>
      </c>
      <c r="BL107" s="259">
        <f>SUMIFS('F3 - Relevé du personnel'!$P$4:$P$281,'F3 - Relevé du personnel'!$D$4:$D$281,$BD107,'F3 - Relevé du personnel'!$C$4:$C$281,'F0 - Données générales'!$K$33)</f>
        <v>0</v>
      </c>
      <c r="BM107" s="259">
        <f>SUMIFS('F3 - Relevé du personnel'!$Q$4:$Q$281,'F3 - Relevé du personnel'!$D$4:$D$281,$BD107,'F3 - Relevé du personnel'!$C$4:$C$281,'F0 - Données générales'!$K$33)</f>
        <v>0</v>
      </c>
      <c r="BN107" s="48">
        <f t="shared" si="69"/>
        <v>0</v>
      </c>
      <c r="BO107" s="187" t="str">
        <f t="shared" si="67"/>
        <v/>
      </c>
      <c r="BP107" s="188" t="str">
        <f>IF(BG107=0,"",(SUMPRODUCT(($D$4:$D$253=BD107)*($C$4:$C$253='F0 - Données générales'!$K$33)*($E$4:$E$253)*($F$4:$F$253))+SUMPRODUCT(($D$257:$D$281=BD107)*($C$257:$C$281='F0 - Données générales'!$K$33)*($E$257:$E$281)*($F$257:$F$281)))/(SUMIFS('F3 - Relevé du personnel'!$E$4:$E$281,'F3 - Relevé du personnel'!$D$4:$D$281,$BD107,'F3 - Relevé du personnel'!$C$4:$C$281,'F0 - Données générales'!$K$33)))</f>
        <v/>
      </c>
      <c r="BS107" s="63"/>
      <c r="BT107" s="63"/>
      <c r="BU107" s="63"/>
      <c r="BV107" s="14"/>
    </row>
    <row r="108" spans="1:74" ht="14.25" customHeight="1" x14ac:dyDescent="0.3">
      <c r="A108" s="106">
        <v>105</v>
      </c>
      <c r="B108" s="324">
        <f>'F0 - Données générales'!$C$4</f>
        <v>7</v>
      </c>
      <c r="C108" s="106" t="s">
        <v>95</v>
      </c>
      <c r="D108" s="106"/>
      <c r="E108" s="107"/>
      <c r="F108" s="108"/>
      <c r="G108" s="109"/>
      <c r="H108" s="110">
        <f t="shared" si="47"/>
        <v>0</v>
      </c>
      <c r="I108" s="177"/>
      <c r="J108" s="118" t="str">
        <f>IF(OR(D108="",F108=""),"",(((HLOOKUP(D108,'Carrières et points'!$A$20:$AD$60,F108+2,FALSE)*'Carrières et points'!$C$7*'Carrières et points'!$C$9)+(HLOOKUP(D108,'Carrières et points'!$A$20:$AD$60,F108+2,FALSE)*'Carrières et points'!$C$13*'Carrières et points'!$C$15))*(1+'F0 - Données générales'!$I$4)+((HLOOKUP(D108,'Carrières et points'!$A$20:$AD$60,F108+2,FALSE)*'Carrières et points'!$C$7*'Carrières et points'!$C$9)+(HLOOKUP(D108,'Carrières et points'!$A$20:$AD$60,F108+2,FALSE)*'Carrières et points'!$C$13*'Carrières et points'!$C$15))/12*(1+'F0 - Données générales'!$L$13))*E108)</f>
        <v/>
      </c>
      <c r="K108" s="118" t="str">
        <f t="shared" si="48"/>
        <v/>
      </c>
      <c r="L108" s="109"/>
      <c r="M108" s="177"/>
      <c r="N108" s="118" t="str">
        <f t="shared" si="49"/>
        <v/>
      </c>
      <c r="O108" s="177"/>
      <c r="P108" s="177"/>
      <c r="Q108" s="177"/>
      <c r="R108" s="255" t="str">
        <f t="shared" si="50"/>
        <v/>
      </c>
      <c r="S108" s="120"/>
      <c r="T108" s="742" t="s">
        <v>61</v>
      </c>
      <c r="U108" s="742"/>
      <c r="V108" s="26" t="s">
        <v>68</v>
      </c>
      <c r="W108" s="741" t="s">
        <v>69</v>
      </c>
      <c r="X108" s="741"/>
      <c r="Y108" s="181">
        <f>SUMIFS('F3 - Relevé du personnel'!$E$4:$E$281,'F3 - Relevé du personnel'!$D$4:$D$281,$V108,'F3 - Relevé du personnel'!$C$4:$C$281,'F0 - Données générales'!$K$31,'F3 - Relevé du personnel'!$B$4:$B$281,"8.3")</f>
        <v>0</v>
      </c>
      <c r="Z108" s="181">
        <f>SUMIFS('F3 - Relevé du personnel'!$H$4:$H$281,'F3 - Relevé du personnel'!$D$4:$D$281,$V108,'F3 - Relevé du personnel'!$C$4:$C$281,'F0 - Données générales'!$K$31,'F3 - Relevé du personnel'!$B$4:$B$281,"8.3")</f>
        <v>0</v>
      </c>
      <c r="AA108" s="256">
        <f>SUMIFS('F3 - Relevé du personnel'!$I$4:$I$281,'F3 - Relevé du personnel'!$D$4:$D$281,$V108,'F3 - Relevé du personnel'!$C$4:$C$281,'F0 - Données générales'!$K$31,'F3 - Relevé du personnel'!$B$4:$B$281,"8.3")</f>
        <v>0</v>
      </c>
      <c r="AB108" s="256">
        <f>SUMIFS('F3 - Relevé du personnel'!$M$4:$M$281,'F3 - Relevé du personnel'!$D$4:$D$281,$V108,'F3 - Relevé du personnel'!$C$4:$C$281,'F0 - Données générales'!$K$31,'F3 - Relevé du personnel'!$B$4:$B$281,"8.3")</f>
        <v>0</v>
      </c>
      <c r="AC108" s="196">
        <f t="shared" si="72"/>
        <v>0</v>
      </c>
      <c r="AD108" s="256">
        <f>SUMIFS('F3 - Relevé du personnel'!$O$4:$O$281,'F3 - Relevé du personnel'!$D$4:$D$281,$V108,'F3 - Relevé du personnel'!$C$4:$C$281,'F0 - Données générales'!$K$31,'F3 - Relevé du personnel'!$B$4:$B$281,"8.3")</f>
        <v>0</v>
      </c>
      <c r="AE108" s="256">
        <f>SUMIFS('F3 - Relevé du personnel'!$P$4:$P$281,'F3 - Relevé du personnel'!$D$4:$D$281,$V108,'F3 - Relevé du personnel'!$C$4:$C$281,'F0 - Données générales'!$K$31,'F3 - Relevé du personnel'!$B$4:$B$281,"8.3")</f>
        <v>0</v>
      </c>
      <c r="AF108" s="256">
        <f>SUMIFS('F3 - Relevé du personnel'!$Q$4:$Q$281,'F3 - Relevé du personnel'!$D$4:$D$281,$V108,'F3 - Relevé du personnel'!$C$4:$C$281,'F0 - Données générales'!$K$31,'F3 - Relevé du personnel'!$B$4:$B$281,"8.3")</f>
        <v>0</v>
      </c>
      <c r="AG108" s="182">
        <f t="shared" si="73"/>
        <v>0</v>
      </c>
      <c r="AH108" s="197" t="str">
        <f t="shared" si="74"/>
        <v/>
      </c>
      <c r="AI108" s="198" t="str">
        <f>IF(Y108=0,"",(SUMPRODUCT(($D$4:$D$253=V108)*($C$4:$C$253='F0 - Données générales'!$K$31)*($E$4:$E$253)*($F$4:$F$253)*($B$4:$B$253="8.3"))+SUMPRODUCT(($D$257:$D$281=V108)*($C$257:$C$281='F0 - Données générales'!$K$31)*($B$257:$B$281="8.3")*($E$257:$E$281)*($F$257:$F$281)))/(SUMIFS('F3 - Relevé du personnel'!$E$4:$E$281,'F3 - Relevé du personnel'!$D$4:$D$281,$V108,'F3 - Relevé du personnel'!$C$4:$C$281,'F0 - Données générales'!$K$31,'F3 - Relevé du personnel'!$B$4:$B$281,"8.3")))</f>
        <v/>
      </c>
      <c r="AK108" s="742" t="s">
        <v>61</v>
      </c>
      <c r="AL108" s="742"/>
      <c r="AM108" s="26" t="s">
        <v>68</v>
      </c>
      <c r="AN108" s="741" t="s">
        <v>69</v>
      </c>
      <c r="AO108" s="741"/>
      <c r="AP108" s="181">
        <f>SUMIFS('F3 - Relevé du personnel'!$E$4:$E$281,'F3 - Relevé du personnel'!$D$4:$D$281,$AM108,'F3 - Relevé du personnel'!$C$4:$C$281,'F0 - Données générales'!$K$31,'F3 - Relevé du personnel'!$B$4:$B$281,"0-3 ans")</f>
        <v>0</v>
      </c>
      <c r="AQ108" s="181">
        <f>SUMIFS('F3 - Relevé du personnel'!$H$4:$H$281,'F3 - Relevé du personnel'!$D$4:$D$281,$AM108,'F3 - Relevé du personnel'!$C$4:$C$281,'F0 - Données générales'!$K$31,'F3 - Relevé du personnel'!$B$4:$B$281,"0-3 ans")</f>
        <v>0</v>
      </c>
      <c r="AR108" s="256">
        <f>SUMIFS('F3 - Relevé du personnel'!$I$4:$I$281,'F3 - Relevé du personnel'!$D$4:$D$281,$AM108,'F3 - Relevé du personnel'!$C$4:$C$281,'F0 - Données générales'!$K$31,'F3 - Relevé du personnel'!$B$4:$B$281,"0-3 ans")</f>
        <v>0</v>
      </c>
      <c r="AS108" s="256">
        <f>SUMIFS('F3 - Relevé du personnel'!$M$4:$M$281,'F3 - Relevé du personnel'!$D$4:$D$281,$AM108,'F3 - Relevé du personnel'!$C$4:$C$281,'F0 - Données générales'!$K$31,'F3 - Relevé du personnel'!$B$4:$B$281,"0-3 ans")</f>
        <v>0</v>
      </c>
      <c r="AT108" s="196">
        <f t="shared" si="75"/>
        <v>0</v>
      </c>
      <c r="AU108" s="256">
        <f>SUMIFS('F3 - Relevé du personnel'!$O$4:$O$281,'F3 - Relevé du personnel'!$D$4:$D$281,$AM108,'F3 - Relevé du personnel'!$C$4:$C$281,'F0 - Données générales'!$K$31,'F3 - Relevé du personnel'!$B$4:$B$281,"0-3 ans")</f>
        <v>0</v>
      </c>
      <c r="AV108" s="256">
        <f>SUMIFS('F3 - Relevé du personnel'!$P$4:$P$281,'F3 - Relevé du personnel'!$D$4:$D$281,$AM108,'F3 - Relevé du personnel'!$C$4:$C$281,'F0 - Données générales'!$K$31,'F3 - Relevé du personnel'!$B$4:$B$281,"0-3 ans")</f>
        <v>0</v>
      </c>
      <c r="AW108" s="256">
        <f>SUMIFS('F3 - Relevé du personnel'!$Q$4:$Q$281,'F3 - Relevé du personnel'!$D$4:$D$281,$AM108,'F3 - Relevé du personnel'!$C$4:$C$281,'F0 - Données générales'!$K$31,'F3 - Relevé du personnel'!$B$4:$B$281,"0-3 ans")</f>
        <v>0</v>
      </c>
      <c r="AX108" s="182">
        <f t="shared" si="76"/>
        <v>0</v>
      </c>
      <c r="AY108" s="197" t="str">
        <f t="shared" si="77"/>
        <v/>
      </c>
      <c r="AZ108" s="198" t="str">
        <f>IF(AP108=0,"",(SUMPRODUCT(($D$4:$D$253=AM108)*($C$4:$C$253='F0 - Données générales'!$K$31)*($E$4:$E$253)*($F$4:$F$253)*($B$4:$B$253="0-3 ans"))+SUMPRODUCT(($D$257:$D$281=AM108)*($C$257:$C$281='F0 - Données générales'!$K$31)*($B$257:$B$281="0-3 ans")*($E$257:$E$281)*($F$257:$F$281)))/(SUMIFS('F3 - Relevé du personnel'!$E$4:$E$281,'F3 - Relevé du personnel'!$D$4:$D$281,$AM108,'F3 - Relevé du personnel'!$C$4:$C$281,'F0 - Données générales'!$K$31,'F3 - Relevé du personnel'!$B$4:$B$281,"0-3 ans")))</f>
        <v/>
      </c>
      <c r="BB108" s="760" t="s">
        <v>61</v>
      </c>
      <c r="BC108" s="761"/>
      <c r="BD108" s="13" t="s">
        <v>319</v>
      </c>
      <c r="BE108" s="758"/>
      <c r="BF108" s="759"/>
      <c r="BG108" s="45">
        <f>SUMIFS('F3 - Relevé du personnel'!$E$4:$E$281,'F3 - Relevé du personnel'!$D$4:$D$281,$BD108,'F3 - Relevé du personnel'!$C$4:$C$281,'F0 - Données générales'!$K$33)</f>
        <v>0</v>
      </c>
      <c r="BH108" s="259">
        <f>SUMIFS('F3 - Relevé du personnel'!$I$4:$I$281,'F3 - Relevé du personnel'!$D$4:$D$281,$BD108,'F3 - Relevé du personnel'!$C$4:$C$281,'F0 - Données générales'!$K$33)</f>
        <v>0</v>
      </c>
      <c r="BI108" s="259">
        <f>SUMIFS('F3 - Relevé du personnel'!$M$4:$M$281,'F3 - Relevé du personnel'!$D$4:$D$281,$BD108,'F3 - Relevé du personnel'!$C$4:$C$281,'F0 - Données générales'!$K$33)</f>
        <v>0</v>
      </c>
      <c r="BJ108" s="189">
        <f t="shared" si="66"/>
        <v>0</v>
      </c>
      <c r="BK108" s="259">
        <f>SUMIFS('F3 - Relevé du personnel'!$O$4:$O$281,'F3 - Relevé du personnel'!$D$4:$D$281,$BD108,'F3 - Relevé du personnel'!$C$4:$C$281,'F0 - Données générales'!$K$33)</f>
        <v>0</v>
      </c>
      <c r="BL108" s="259">
        <f>SUMIFS('F3 - Relevé du personnel'!$P$4:$P$281,'F3 - Relevé du personnel'!$D$4:$D$281,$BD108,'F3 - Relevé du personnel'!$C$4:$C$281,'F0 - Données générales'!$K$33)</f>
        <v>0</v>
      </c>
      <c r="BM108" s="259">
        <f>SUMIFS('F3 - Relevé du personnel'!$Q$4:$Q$281,'F3 - Relevé du personnel'!$D$4:$D$281,$BD108,'F3 - Relevé du personnel'!$C$4:$C$281,'F0 - Données générales'!$K$33)</f>
        <v>0</v>
      </c>
      <c r="BN108" s="48">
        <f t="shared" si="69"/>
        <v>0</v>
      </c>
      <c r="BO108" s="187" t="str">
        <f t="shared" si="67"/>
        <v/>
      </c>
      <c r="BP108" s="188" t="str">
        <f>IF(BG108=0,"",(SUMPRODUCT(($D$4:$D$253=BD108)*($C$4:$C$253='F0 - Données générales'!$K$33)*($E$4:$E$253)*($F$4:$F$253))+SUMPRODUCT(($D$257:$D$281=BD108)*($C$257:$C$281='F0 - Données générales'!$K$33)*($E$257:$E$281)*($F$257:$F$281)))/(SUMIFS('F3 - Relevé du personnel'!$E$4:$E$281,'F3 - Relevé du personnel'!$D$4:$D$281,$BD108,'F3 - Relevé du personnel'!$C$4:$C$281,'F0 - Données générales'!$K$33)))</f>
        <v/>
      </c>
      <c r="BS108" s="63"/>
      <c r="BT108" s="63"/>
      <c r="BU108" s="63"/>
      <c r="BV108" s="14"/>
    </row>
    <row r="109" spans="1:74" ht="15" customHeight="1" x14ac:dyDescent="0.3">
      <c r="A109" s="106">
        <v>106</v>
      </c>
      <c r="B109" s="324">
        <f>'F0 - Données générales'!$C$4</f>
        <v>7</v>
      </c>
      <c r="C109" s="106" t="s">
        <v>95</v>
      </c>
      <c r="D109" s="106"/>
      <c r="E109" s="107"/>
      <c r="F109" s="108"/>
      <c r="G109" s="109"/>
      <c r="H109" s="110">
        <f t="shared" si="47"/>
        <v>0</v>
      </c>
      <c r="I109" s="177"/>
      <c r="J109" s="118" t="str">
        <f>IF(OR(D109="",F109=""),"",(((HLOOKUP(D109,'Carrières et points'!$A$20:$AD$60,F109+2,FALSE)*'Carrières et points'!$C$7*'Carrières et points'!$C$9)+(HLOOKUP(D109,'Carrières et points'!$A$20:$AD$60,F109+2,FALSE)*'Carrières et points'!$C$13*'Carrières et points'!$C$15))*(1+'F0 - Données générales'!$I$4)+((HLOOKUP(D109,'Carrières et points'!$A$20:$AD$60,F109+2,FALSE)*'Carrières et points'!$C$7*'Carrières et points'!$C$9)+(HLOOKUP(D109,'Carrières et points'!$A$20:$AD$60,F109+2,FALSE)*'Carrières et points'!$C$13*'Carrières et points'!$C$15))/12*(1+'F0 - Données générales'!$L$13))*E109)</f>
        <v/>
      </c>
      <c r="K109" s="118" t="str">
        <f t="shared" si="48"/>
        <v/>
      </c>
      <c r="L109" s="109"/>
      <c r="M109" s="177"/>
      <c r="N109" s="118" t="str">
        <f t="shared" si="49"/>
        <v/>
      </c>
      <c r="O109" s="177"/>
      <c r="P109" s="177"/>
      <c r="Q109" s="177"/>
      <c r="R109" s="255" t="str">
        <f t="shared" si="50"/>
        <v/>
      </c>
      <c r="S109" s="120"/>
      <c r="T109" s="742" t="s">
        <v>64</v>
      </c>
      <c r="U109" s="742"/>
      <c r="V109" s="26" t="s">
        <v>70</v>
      </c>
      <c r="W109" s="741" t="s">
        <v>71</v>
      </c>
      <c r="X109" s="741"/>
      <c r="Y109" s="181">
        <f>SUMIFS('F3 - Relevé du personnel'!$E$4:$E$281,'F3 - Relevé du personnel'!$D$4:$D$281,$V109,'F3 - Relevé du personnel'!$C$4:$C$281,'F0 - Données générales'!$K$31,'F3 - Relevé du personnel'!$B$4:$B$281,"8.3")</f>
        <v>0</v>
      </c>
      <c r="Z109" s="181">
        <f>SUMIFS('F3 - Relevé du personnel'!$H$4:$H$281,'F3 - Relevé du personnel'!$D$4:$D$281,$V109,'F3 - Relevé du personnel'!$C$4:$C$281,'F0 - Données générales'!$K$31,'F3 - Relevé du personnel'!$B$4:$B$281,"8.3")</f>
        <v>0</v>
      </c>
      <c r="AA109" s="256">
        <f>SUMIFS('F3 - Relevé du personnel'!$I$4:$I$281,'F3 - Relevé du personnel'!$D$4:$D$281,$V109,'F3 - Relevé du personnel'!$C$4:$C$281,'F0 - Données générales'!$K$31,'F3 - Relevé du personnel'!$B$4:$B$281,"8.3")</f>
        <v>0</v>
      </c>
      <c r="AB109" s="256">
        <f>SUMIFS('F3 - Relevé du personnel'!$M$4:$M$281,'F3 - Relevé du personnel'!$D$4:$D$281,$V109,'F3 - Relevé du personnel'!$C$4:$C$281,'F0 - Données générales'!$K$31,'F3 - Relevé du personnel'!$B$4:$B$281,"8.3")</f>
        <v>0</v>
      </c>
      <c r="AC109" s="196">
        <f t="shared" si="72"/>
        <v>0</v>
      </c>
      <c r="AD109" s="256">
        <f>SUMIFS('F3 - Relevé du personnel'!$O$4:$O$281,'F3 - Relevé du personnel'!$D$4:$D$281,$V109,'F3 - Relevé du personnel'!$C$4:$C$281,'F0 - Données générales'!$K$31,'F3 - Relevé du personnel'!$B$4:$B$281,"8.3")</f>
        <v>0</v>
      </c>
      <c r="AE109" s="256">
        <f>SUMIFS('F3 - Relevé du personnel'!$P$4:$P$281,'F3 - Relevé du personnel'!$D$4:$D$281,$V109,'F3 - Relevé du personnel'!$C$4:$C$281,'F0 - Données générales'!$K$31,'F3 - Relevé du personnel'!$B$4:$B$281,"8.3")</f>
        <v>0</v>
      </c>
      <c r="AF109" s="256">
        <f>SUMIFS('F3 - Relevé du personnel'!$Q$4:$Q$281,'F3 - Relevé du personnel'!$D$4:$D$281,$V109,'F3 - Relevé du personnel'!$C$4:$C$281,'F0 - Données générales'!$K$31,'F3 - Relevé du personnel'!$B$4:$B$281,"8.3")</f>
        <v>0</v>
      </c>
      <c r="AG109" s="182">
        <f t="shared" si="73"/>
        <v>0</v>
      </c>
      <c r="AH109" s="197" t="str">
        <f t="shared" si="74"/>
        <v/>
      </c>
      <c r="AI109" s="198" t="str">
        <f>IF(Y109=0,"",(SUMPRODUCT(($D$4:$D$253=V109)*($C$4:$C$253='F0 - Données générales'!$K$31)*($E$4:$E$253)*($F$4:$F$253)*($B$4:$B$253="8.3"))+SUMPRODUCT(($D$257:$D$281=V109)*($C$257:$C$281='F0 - Données générales'!$K$31)*($B$257:$B$281="8.3")*($E$257:$E$281)*($F$257:$F$281)))/(SUMIFS('F3 - Relevé du personnel'!$E$4:$E$281,'F3 - Relevé du personnel'!$D$4:$D$281,$V109,'F3 - Relevé du personnel'!$C$4:$C$281,'F0 - Données générales'!$K$31,'F3 - Relevé du personnel'!$B$4:$B$281,"8.3")))</f>
        <v/>
      </c>
      <c r="AK109" s="742" t="s">
        <v>64</v>
      </c>
      <c r="AL109" s="742"/>
      <c r="AM109" s="26" t="s">
        <v>70</v>
      </c>
      <c r="AN109" s="741" t="s">
        <v>71</v>
      </c>
      <c r="AO109" s="741"/>
      <c r="AP109" s="181">
        <f>SUMIFS('F3 - Relevé du personnel'!$E$4:$E$281,'F3 - Relevé du personnel'!$D$4:$D$281,$AM109,'F3 - Relevé du personnel'!$C$4:$C$281,'F0 - Données générales'!$K$31,'F3 - Relevé du personnel'!$B$4:$B$281,"0-3 ans")</f>
        <v>0</v>
      </c>
      <c r="AQ109" s="181">
        <f>SUMIFS('F3 - Relevé du personnel'!$H$4:$H$281,'F3 - Relevé du personnel'!$D$4:$D$281,$AM109,'F3 - Relevé du personnel'!$C$4:$C$281,'F0 - Données générales'!$K$31,'F3 - Relevé du personnel'!$B$4:$B$281,"0-3 ans")</f>
        <v>0</v>
      </c>
      <c r="AR109" s="256">
        <f>SUMIFS('F3 - Relevé du personnel'!$I$4:$I$281,'F3 - Relevé du personnel'!$D$4:$D$281,$AM109,'F3 - Relevé du personnel'!$C$4:$C$281,'F0 - Données générales'!$K$31,'F3 - Relevé du personnel'!$B$4:$B$281,"0-3 ans")</f>
        <v>0</v>
      </c>
      <c r="AS109" s="256">
        <f>SUMIFS('F3 - Relevé du personnel'!$M$4:$M$281,'F3 - Relevé du personnel'!$D$4:$D$281,$AM109,'F3 - Relevé du personnel'!$C$4:$C$281,'F0 - Données générales'!$K$31,'F3 - Relevé du personnel'!$B$4:$B$281,"0-3 ans")</f>
        <v>0</v>
      </c>
      <c r="AT109" s="196">
        <f t="shared" si="75"/>
        <v>0</v>
      </c>
      <c r="AU109" s="256">
        <f>SUMIFS('F3 - Relevé du personnel'!$O$4:$O$281,'F3 - Relevé du personnel'!$D$4:$D$281,$AM109,'F3 - Relevé du personnel'!$C$4:$C$281,'F0 - Données générales'!$K$31,'F3 - Relevé du personnel'!$B$4:$B$281,"0-3 ans")</f>
        <v>0</v>
      </c>
      <c r="AV109" s="256">
        <f>SUMIFS('F3 - Relevé du personnel'!$P$4:$P$281,'F3 - Relevé du personnel'!$D$4:$D$281,$AM109,'F3 - Relevé du personnel'!$C$4:$C$281,'F0 - Données générales'!$K$31,'F3 - Relevé du personnel'!$B$4:$B$281,"0-3 ans")</f>
        <v>0</v>
      </c>
      <c r="AW109" s="256">
        <f>SUMIFS('F3 - Relevé du personnel'!$Q$4:$Q$281,'F3 - Relevé du personnel'!$D$4:$D$281,$AM109,'F3 - Relevé du personnel'!$C$4:$C$281,'F0 - Données générales'!$K$31,'F3 - Relevé du personnel'!$B$4:$B$281,"0-3 ans")</f>
        <v>0</v>
      </c>
      <c r="AX109" s="182">
        <f t="shared" si="76"/>
        <v>0</v>
      </c>
      <c r="AY109" s="197" t="str">
        <f t="shared" si="77"/>
        <v/>
      </c>
      <c r="AZ109" s="198" t="str">
        <f>IF(AP109=0,"",(SUMPRODUCT(($D$4:$D$253=AM109)*($C$4:$C$253='F0 - Données générales'!$K$31)*($E$4:$E$253)*($F$4:$F$253)*($B$4:$B$253="0-3 ans"))+SUMPRODUCT(($D$257:$D$281=AM109)*($C$257:$C$281='F0 - Données générales'!$K$31)*($B$257:$B$281="0-3 ans")*($E$257:$E$281)*($F$257:$F$281)))/(SUMIFS('F3 - Relevé du personnel'!$E$4:$E$281,'F3 - Relevé du personnel'!$D$4:$D$281,$AM109,'F3 - Relevé du personnel'!$C$4:$C$281,'F0 - Données générales'!$K$31,'F3 - Relevé du personnel'!$B$4:$B$281,"0-3 ans")))</f>
        <v/>
      </c>
      <c r="BB109" s="760" t="s">
        <v>61</v>
      </c>
      <c r="BC109" s="761"/>
      <c r="BD109" s="13" t="s">
        <v>99</v>
      </c>
      <c r="BE109" s="758"/>
      <c r="BF109" s="759"/>
      <c r="BG109" s="45">
        <f>SUMIFS('F3 - Relevé du personnel'!$E$4:$E$281,'F3 - Relevé du personnel'!$D$4:$D$281,$BD109,'F3 - Relevé du personnel'!$C$4:$C$281,'F0 - Données générales'!$K$33)</f>
        <v>0</v>
      </c>
      <c r="BH109" s="259">
        <f>SUMIFS('F3 - Relevé du personnel'!$I$4:$I$281,'F3 - Relevé du personnel'!$D$4:$D$281,$BD109,'F3 - Relevé du personnel'!$C$4:$C$281,'F0 - Données générales'!$K$33)</f>
        <v>0</v>
      </c>
      <c r="BI109" s="259">
        <f>SUMIFS('F3 - Relevé du personnel'!$M$4:$M$281,'F3 - Relevé du personnel'!$D$4:$D$281,$BD109,'F3 - Relevé du personnel'!$C$4:$C$281,'F0 - Données générales'!$K$33)</f>
        <v>0</v>
      </c>
      <c r="BJ109" s="189">
        <f t="shared" si="66"/>
        <v>0</v>
      </c>
      <c r="BK109" s="259">
        <f>SUMIFS('F3 - Relevé du personnel'!$O$4:$O$281,'F3 - Relevé du personnel'!$D$4:$D$281,$BD109,'F3 - Relevé du personnel'!$C$4:$C$281,'F0 - Données générales'!$K$33)</f>
        <v>0</v>
      </c>
      <c r="BL109" s="259">
        <f>SUMIFS('F3 - Relevé du personnel'!$P$4:$P$281,'F3 - Relevé du personnel'!$D$4:$D$281,$BD109,'F3 - Relevé du personnel'!$C$4:$C$281,'F0 - Données générales'!$K$33)</f>
        <v>0</v>
      </c>
      <c r="BM109" s="259">
        <f>SUMIFS('F3 - Relevé du personnel'!$Q$4:$Q$281,'F3 - Relevé du personnel'!$D$4:$D$281,$BD109,'F3 - Relevé du personnel'!$C$4:$C$281,'F0 - Données générales'!$K$33)</f>
        <v>0</v>
      </c>
      <c r="BN109" s="48">
        <f t="shared" si="69"/>
        <v>0</v>
      </c>
      <c r="BO109" s="187" t="str">
        <f t="shared" si="67"/>
        <v/>
      </c>
      <c r="BP109" s="188" t="str">
        <f>IF(BG109=0,"",(SUMPRODUCT(($D$4:$D$253=BD109)*($C$4:$C$253='F0 - Données générales'!$K$33)*($E$4:$E$253)*($F$4:$F$253))+SUMPRODUCT(($D$257:$D$281=BD109)*($C$257:$C$281='F0 - Données générales'!$K$33)*($E$257:$E$281)*($F$257:$F$281)))/(SUMIFS('F3 - Relevé du personnel'!$E$4:$E$281,'F3 - Relevé du personnel'!$D$4:$D$281,$BD109,'F3 - Relevé du personnel'!$C$4:$C$281,'F0 - Données générales'!$K$33)))</f>
        <v/>
      </c>
      <c r="BS109" s="63"/>
      <c r="BT109" s="63"/>
      <c r="BU109" s="63"/>
      <c r="BV109" s="14"/>
    </row>
    <row r="110" spans="1:74" ht="15" customHeight="1" x14ac:dyDescent="0.3">
      <c r="A110" s="106">
        <v>107</v>
      </c>
      <c r="B110" s="324">
        <f>'F0 - Données générales'!$C$4</f>
        <v>7</v>
      </c>
      <c r="C110" s="106" t="s">
        <v>95</v>
      </c>
      <c r="D110" s="106"/>
      <c r="E110" s="107"/>
      <c r="F110" s="108"/>
      <c r="G110" s="109"/>
      <c r="H110" s="110">
        <f t="shared" si="47"/>
        <v>0</v>
      </c>
      <c r="I110" s="177"/>
      <c r="J110" s="118" t="str">
        <f>IF(OR(D110="",F110=""),"",(((HLOOKUP(D110,'Carrières et points'!$A$20:$AD$60,F110+2,FALSE)*'Carrières et points'!$C$7*'Carrières et points'!$C$9)+(HLOOKUP(D110,'Carrières et points'!$A$20:$AD$60,F110+2,FALSE)*'Carrières et points'!$C$13*'Carrières et points'!$C$15))*(1+'F0 - Données générales'!$I$4)+((HLOOKUP(D110,'Carrières et points'!$A$20:$AD$60,F110+2,FALSE)*'Carrières et points'!$C$7*'Carrières et points'!$C$9)+(HLOOKUP(D110,'Carrières et points'!$A$20:$AD$60,F110+2,FALSE)*'Carrières et points'!$C$13*'Carrières et points'!$C$15))/12*(1+'F0 - Données générales'!$L$13))*E110)</f>
        <v/>
      </c>
      <c r="K110" s="118" t="str">
        <f t="shared" si="48"/>
        <v/>
      </c>
      <c r="L110" s="109"/>
      <c r="M110" s="177"/>
      <c r="N110" s="118" t="str">
        <f t="shared" si="49"/>
        <v/>
      </c>
      <c r="O110" s="177"/>
      <c r="P110" s="177"/>
      <c r="Q110" s="177"/>
      <c r="R110" s="255" t="str">
        <f t="shared" si="50"/>
        <v/>
      </c>
      <c r="S110" s="120"/>
      <c r="T110" s="742" t="s">
        <v>64</v>
      </c>
      <c r="U110" s="742"/>
      <c r="V110" s="26" t="s">
        <v>72</v>
      </c>
      <c r="W110" s="741" t="s">
        <v>73</v>
      </c>
      <c r="X110" s="741"/>
      <c r="Y110" s="181">
        <f>SUMIFS('F3 - Relevé du personnel'!$E$4:$E$281,'F3 - Relevé du personnel'!$D$4:$D$281,$V110,'F3 - Relevé du personnel'!$C$4:$C$281,'F0 - Données générales'!$K$31,'F3 - Relevé du personnel'!$B$4:$B$281,"8.3")</f>
        <v>0</v>
      </c>
      <c r="Z110" s="181">
        <f>SUMIFS('F3 - Relevé du personnel'!$H$4:$H$281,'F3 - Relevé du personnel'!$D$4:$D$281,$V110,'F3 - Relevé du personnel'!$C$4:$C$281,'F0 - Données générales'!$K$31,'F3 - Relevé du personnel'!$B$4:$B$281,"8.3")</f>
        <v>0</v>
      </c>
      <c r="AA110" s="256">
        <f>SUMIFS('F3 - Relevé du personnel'!$I$4:$I$281,'F3 - Relevé du personnel'!$D$4:$D$281,$V110,'F3 - Relevé du personnel'!$C$4:$C$281,'F0 - Données générales'!$K$31,'F3 - Relevé du personnel'!$B$4:$B$281,"8.3")</f>
        <v>0</v>
      </c>
      <c r="AB110" s="256">
        <f>SUMIFS('F3 - Relevé du personnel'!$M$4:$M$281,'F3 - Relevé du personnel'!$D$4:$D$281,$V110,'F3 - Relevé du personnel'!$C$4:$C$281,'F0 - Données générales'!$K$31,'F3 - Relevé du personnel'!$B$4:$B$281,"8.3")</f>
        <v>0</v>
      </c>
      <c r="AC110" s="196">
        <f t="shared" si="72"/>
        <v>0</v>
      </c>
      <c r="AD110" s="256">
        <f>SUMIFS('F3 - Relevé du personnel'!$O$4:$O$281,'F3 - Relevé du personnel'!$D$4:$D$281,$V110,'F3 - Relevé du personnel'!$C$4:$C$281,'F0 - Données générales'!$K$31,'F3 - Relevé du personnel'!$B$4:$B$281,"8.3")</f>
        <v>0</v>
      </c>
      <c r="AE110" s="256">
        <f>SUMIFS('F3 - Relevé du personnel'!$P$4:$P$281,'F3 - Relevé du personnel'!$D$4:$D$281,$V110,'F3 - Relevé du personnel'!$C$4:$C$281,'F0 - Données générales'!$K$31,'F3 - Relevé du personnel'!$B$4:$B$281,"8.3")</f>
        <v>0</v>
      </c>
      <c r="AF110" s="256">
        <f>SUMIFS('F3 - Relevé du personnel'!$Q$4:$Q$281,'F3 - Relevé du personnel'!$D$4:$D$281,$V110,'F3 - Relevé du personnel'!$C$4:$C$281,'F0 - Données générales'!$K$31,'F3 - Relevé du personnel'!$B$4:$B$281,"8.3")</f>
        <v>0</v>
      </c>
      <c r="AG110" s="182">
        <f t="shared" si="73"/>
        <v>0</v>
      </c>
      <c r="AH110" s="197" t="str">
        <f t="shared" si="74"/>
        <v/>
      </c>
      <c r="AI110" s="198" t="str">
        <f>IF(Y110=0,"",(SUMPRODUCT(($D$4:$D$253=V110)*($C$4:$C$253='F0 - Données générales'!$K$31)*($E$4:$E$253)*($F$4:$F$253)*($B$4:$B$253="8.3"))+SUMPRODUCT(($D$257:$D$281=V110)*($C$257:$C$281='F0 - Données générales'!$K$31)*($B$257:$B$281="8.3")*($E$257:$E$281)*($F$257:$F$281)))/(SUMIFS('F3 - Relevé du personnel'!$E$4:$E$281,'F3 - Relevé du personnel'!$D$4:$D$281,$V110,'F3 - Relevé du personnel'!$C$4:$C$281,'F0 - Données générales'!$K$31,'F3 - Relevé du personnel'!$B$4:$B$281,"8.3")))</f>
        <v/>
      </c>
      <c r="AK110" s="742" t="s">
        <v>64</v>
      </c>
      <c r="AL110" s="742"/>
      <c r="AM110" s="26" t="s">
        <v>72</v>
      </c>
      <c r="AN110" s="741" t="s">
        <v>73</v>
      </c>
      <c r="AO110" s="741"/>
      <c r="AP110" s="181">
        <f>SUMIFS('F3 - Relevé du personnel'!$E$4:$E$281,'F3 - Relevé du personnel'!$D$4:$D$281,$AM110,'F3 - Relevé du personnel'!$C$4:$C$281,'F0 - Données générales'!$K$31,'F3 - Relevé du personnel'!$B$4:$B$281,"0-3 ans")</f>
        <v>0</v>
      </c>
      <c r="AQ110" s="181">
        <f>SUMIFS('F3 - Relevé du personnel'!$H$4:$H$281,'F3 - Relevé du personnel'!$D$4:$D$281,$AM110,'F3 - Relevé du personnel'!$C$4:$C$281,'F0 - Données générales'!$K$31,'F3 - Relevé du personnel'!$B$4:$B$281,"0-3 ans")</f>
        <v>0</v>
      </c>
      <c r="AR110" s="256">
        <f>SUMIFS('F3 - Relevé du personnel'!$I$4:$I$281,'F3 - Relevé du personnel'!$D$4:$D$281,$AM110,'F3 - Relevé du personnel'!$C$4:$C$281,'F0 - Données générales'!$K$31,'F3 - Relevé du personnel'!$B$4:$B$281,"0-3 ans")</f>
        <v>0</v>
      </c>
      <c r="AS110" s="256">
        <f>SUMIFS('F3 - Relevé du personnel'!$M$4:$M$281,'F3 - Relevé du personnel'!$D$4:$D$281,$AM110,'F3 - Relevé du personnel'!$C$4:$C$281,'F0 - Données générales'!$K$31,'F3 - Relevé du personnel'!$B$4:$B$281,"0-3 ans")</f>
        <v>0</v>
      </c>
      <c r="AT110" s="196">
        <f t="shared" si="75"/>
        <v>0</v>
      </c>
      <c r="AU110" s="256">
        <f>SUMIFS('F3 - Relevé du personnel'!$O$4:$O$281,'F3 - Relevé du personnel'!$D$4:$D$281,$AM110,'F3 - Relevé du personnel'!$C$4:$C$281,'F0 - Données générales'!$K$31,'F3 - Relevé du personnel'!$B$4:$B$281,"0-3 ans")</f>
        <v>0</v>
      </c>
      <c r="AV110" s="256">
        <f>SUMIFS('F3 - Relevé du personnel'!$P$4:$P$281,'F3 - Relevé du personnel'!$D$4:$D$281,$AM110,'F3 - Relevé du personnel'!$C$4:$C$281,'F0 - Données générales'!$K$31,'F3 - Relevé du personnel'!$B$4:$B$281,"0-3 ans")</f>
        <v>0</v>
      </c>
      <c r="AW110" s="256">
        <f>SUMIFS('F3 - Relevé du personnel'!$Q$4:$Q$281,'F3 - Relevé du personnel'!$D$4:$D$281,$AM110,'F3 - Relevé du personnel'!$C$4:$C$281,'F0 - Données générales'!$K$31,'F3 - Relevé du personnel'!$B$4:$B$281,"0-3 ans")</f>
        <v>0</v>
      </c>
      <c r="AX110" s="182">
        <f t="shared" si="76"/>
        <v>0</v>
      </c>
      <c r="AY110" s="197" t="str">
        <f t="shared" si="77"/>
        <v/>
      </c>
      <c r="AZ110" s="198" t="str">
        <f>IF(AP110=0,"",(SUMPRODUCT(($D$4:$D$253=AM110)*($C$4:$C$253='F0 - Données générales'!$K$31)*($E$4:$E$253)*($F$4:$F$253)*($B$4:$B$253="0-3 ans"))+SUMPRODUCT(($D$257:$D$281=AM110)*($C$257:$C$281='F0 - Données générales'!$K$31)*($B$257:$B$281="0-3 ans")*($E$257:$E$281)*($F$257:$F$281)))/(SUMIFS('F3 - Relevé du personnel'!$E$4:$E$281,'F3 - Relevé du personnel'!$D$4:$D$281,$AM110,'F3 - Relevé du personnel'!$C$4:$C$281,'F0 - Données générales'!$K$31,'F3 - Relevé du personnel'!$B$4:$B$281,"0-3 ans")))</f>
        <v/>
      </c>
      <c r="BB110" s="760" t="s">
        <v>61</v>
      </c>
      <c r="BC110" s="761"/>
      <c r="BD110" s="13" t="s">
        <v>100</v>
      </c>
      <c r="BE110" s="758"/>
      <c r="BF110" s="759"/>
      <c r="BG110" s="45">
        <f>SUMIFS('F3 - Relevé du personnel'!$E$4:$E$281,'F3 - Relevé du personnel'!$D$4:$D$281,$BD110,'F3 - Relevé du personnel'!$C$4:$C$281,'F0 - Données générales'!$K$33)</f>
        <v>0</v>
      </c>
      <c r="BH110" s="259">
        <f>SUMIFS('F3 - Relevé du personnel'!$I$4:$I$281,'F3 - Relevé du personnel'!$D$4:$D$281,$BD110,'F3 - Relevé du personnel'!$C$4:$C$281,'F0 - Données générales'!$K$33)</f>
        <v>0</v>
      </c>
      <c r="BI110" s="259">
        <f>SUMIFS('F3 - Relevé du personnel'!$M$4:$M$281,'F3 - Relevé du personnel'!$D$4:$D$281,$BD110,'F3 - Relevé du personnel'!$C$4:$C$281,'F0 - Données générales'!$K$33)</f>
        <v>0</v>
      </c>
      <c r="BJ110" s="189">
        <f t="shared" si="66"/>
        <v>0</v>
      </c>
      <c r="BK110" s="259">
        <f>SUMIFS('F3 - Relevé du personnel'!$O$4:$O$281,'F3 - Relevé du personnel'!$D$4:$D$281,$BD110,'F3 - Relevé du personnel'!$C$4:$C$281,'F0 - Données générales'!$K$33)</f>
        <v>0</v>
      </c>
      <c r="BL110" s="259">
        <f>SUMIFS('F3 - Relevé du personnel'!$P$4:$P$281,'F3 - Relevé du personnel'!$D$4:$D$281,$BD110,'F3 - Relevé du personnel'!$C$4:$C$281,'F0 - Données générales'!$K$33)</f>
        <v>0</v>
      </c>
      <c r="BM110" s="259">
        <f>SUMIFS('F3 - Relevé du personnel'!$Q$4:$Q$281,'F3 - Relevé du personnel'!$D$4:$D$281,$BD110,'F3 - Relevé du personnel'!$C$4:$C$281,'F0 - Données générales'!$K$33)</f>
        <v>0</v>
      </c>
      <c r="BN110" s="48">
        <f t="shared" si="69"/>
        <v>0</v>
      </c>
      <c r="BO110" s="187" t="str">
        <f t="shared" si="67"/>
        <v/>
      </c>
      <c r="BP110" s="188" t="str">
        <f>IF(BG110=0,"",(SUMPRODUCT(($D$4:$D$253=BD110)*($C$4:$C$253='F0 - Données générales'!$K$33)*($E$4:$E$253)*($F$4:$F$253))+SUMPRODUCT(($D$257:$D$281=BD110)*($C$257:$C$281='F0 - Données générales'!$K$33)*($E$257:$E$281)*($F$257:$F$281)))/(SUMIFS('F3 - Relevé du personnel'!$E$4:$E$281,'F3 - Relevé du personnel'!$D$4:$D$281,$BD110,'F3 - Relevé du personnel'!$C$4:$C$281,'F0 - Données générales'!$K$33)))</f>
        <v/>
      </c>
      <c r="BS110" s="63"/>
      <c r="BT110" s="63"/>
      <c r="BU110" s="63"/>
      <c r="BV110" s="14"/>
    </row>
    <row r="111" spans="1:74" ht="15" customHeight="1" x14ac:dyDescent="0.3">
      <c r="A111" s="106">
        <v>108</v>
      </c>
      <c r="B111" s="324">
        <f>'F0 - Données générales'!$C$4</f>
        <v>7</v>
      </c>
      <c r="C111" s="106" t="s">
        <v>95</v>
      </c>
      <c r="D111" s="106"/>
      <c r="E111" s="107"/>
      <c r="F111" s="108"/>
      <c r="G111" s="109"/>
      <c r="H111" s="110">
        <f t="shared" si="47"/>
        <v>0</v>
      </c>
      <c r="I111" s="177"/>
      <c r="J111" s="118" t="str">
        <f>IF(OR(D111="",F111=""),"",(((HLOOKUP(D111,'Carrières et points'!$A$20:$AD$60,F111+2,FALSE)*'Carrières et points'!$C$7*'Carrières et points'!$C$9)+(HLOOKUP(D111,'Carrières et points'!$A$20:$AD$60,F111+2,FALSE)*'Carrières et points'!$C$13*'Carrières et points'!$C$15))*(1+'F0 - Données générales'!$I$4)+((HLOOKUP(D111,'Carrières et points'!$A$20:$AD$60,F111+2,FALSE)*'Carrières et points'!$C$7*'Carrières et points'!$C$9)+(HLOOKUP(D111,'Carrières et points'!$A$20:$AD$60,F111+2,FALSE)*'Carrières et points'!$C$13*'Carrières et points'!$C$15))/12*(1+'F0 - Données générales'!$L$13))*E111)</f>
        <v/>
      </c>
      <c r="K111" s="118" t="str">
        <f t="shared" si="48"/>
        <v/>
      </c>
      <c r="L111" s="109"/>
      <c r="M111" s="177"/>
      <c r="N111" s="118" t="str">
        <f t="shared" si="49"/>
        <v/>
      </c>
      <c r="O111" s="177"/>
      <c r="P111" s="177"/>
      <c r="Q111" s="177"/>
      <c r="R111" s="255" t="str">
        <f t="shared" si="50"/>
        <v/>
      </c>
      <c r="S111" s="120"/>
      <c r="T111" s="742" t="s">
        <v>65</v>
      </c>
      <c r="U111" s="742"/>
      <c r="V111" s="26" t="s">
        <v>74</v>
      </c>
      <c r="W111" s="741" t="s">
        <v>75</v>
      </c>
      <c r="X111" s="741"/>
      <c r="Y111" s="181">
        <f>SUMIFS('F3 - Relevé du personnel'!$E$4:$E$281,'F3 - Relevé du personnel'!$D$4:$D$281,$V111,'F3 - Relevé du personnel'!$C$4:$C$281,'F0 - Données générales'!$K$31,'F3 - Relevé du personnel'!$B$4:$B$281,"8.3")</f>
        <v>0</v>
      </c>
      <c r="Z111" s="181">
        <f>SUMIFS('F3 - Relevé du personnel'!$H$4:$H$281,'F3 - Relevé du personnel'!$D$4:$D$281,$V111,'F3 - Relevé du personnel'!$C$4:$C$281,'F0 - Données générales'!$K$31,'F3 - Relevé du personnel'!$B$4:$B$281,"8.3")</f>
        <v>0</v>
      </c>
      <c r="AA111" s="256">
        <f>SUMIFS('F3 - Relevé du personnel'!$I$4:$I$281,'F3 - Relevé du personnel'!$D$4:$D$281,$V111,'F3 - Relevé du personnel'!$C$4:$C$281,'F0 - Données générales'!$K$31,'F3 - Relevé du personnel'!$B$4:$B$281,"8.3")</f>
        <v>0</v>
      </c>
      <c r="AB111" s="256">
        <f>SUMIFS('F3 - Relevé du personnel'!$M$4:$M$281,'F3 - Relevé du personnel'!$D$4:$D$281,$V111,'F3 - Relevé du personnel'!$C$4:$C$281,'F0 - Données générales'!$K$31,'F3 - Relevé du personnel'!$B$4:$B$281,"8.3")</f>
        <v>0</v>
      </c>
      <c r="AC111" s="196">
        <f t="shared" si="72"/>
        <v>0</v>
      </c>
      <c r="AD111" s="256">
        <f>SUMIFS('F3 - Relevé du personnel'!$O$4:$O$281,'F3 - Relevé du personnel'!$D$4:$D$281,$V111,'F3 - Relevé du personnel'!$C$4:$C$281,'F0 - Données générales'!$K$31,'F3 - Relevé du personnel'!$B$4:$B$281,"8.3")</f>
        <v>0</v>
      </c>
      <c r="AE111" s="256">
        <f>SUMIFS('F3 - Relevé du personnel'!$P$4:$P$281,'F3 - Relevé du personnel'!$D$4:$D$281,$V111,'F3 - Relevé du personnel'!$C$4:$C$281,'F0 - Données générales'!$K$31,'F3 - Relevé du personnel'!$B$4:$B$281,"8.3")</f>
        <v>0</v>
      </c>
      <c r="AF111" s="256">
        <f>SUMIFS('F3 - Relevé du personnel'!$Q$4:$Q$281,'F3 - Relevé du personnel'!$D$4:$D$281,$V111,'F3 - Relevé du personnel'!$C$4:$C$281,'F0 - Données générales'!$K$31,'F3 - Relevé du personnel'!$B$4:$B$281,"8.3")</f>
        <v>0</v>
      </c>
      <c r="AG111" s="182">
        <f t="shared" si="73"/>
        <v>0</v>
      </c>
      <c r="AH111" s="197" t="str">
        <f t="shared" si="74"/>
        <v/>
      </c>
      <c r="AI111" s="198" t="str">
        <f>IF(Y111=0,"",(SUMPRODUCT(($D$4:$D$253=V111)*($C$4:$C$253='F0 - Données générales'!$K$31)*($E$4:$E$253)*($F$4:$F$253)*($B$4:$B$253="8.3"))+SUMPRODUCT(($D$257:$D$281=V111)*($C$257:$C$281='F0 - Données générales'!$K$31)*($B$257:$B$281="8.3")*($E$257:$E$281)*($F$257:$F$281)))/(SUMIFS('F3 - Relevé du personnel'!$E$4:$E$281,'F3 - Relevé du personnel'!$D$4:$D$281,$V111,'F3 - Relevé du personnel'!$C$4:$C$281,'F0 - Données générales'!$K$31,'F3 - Relevé du personnel'!$B$4:$B$281,"8.3")))</f>
        <v/>
      </c>
      <c r="AK111" s="742" t="s">
        <v>65</v>
      </c>
      <c r="AL111" s="742"/>
      <c r="AM111" s="26" t="s">
        <v>74</v>
      </c>
      <c r="AN111" s="741" t="s">
        <v>75</v>
      </c>
      <c r="AO111" s="741"/>
      <c r="AP111" s="181">
        <f>SUMIFS('F3 - Relevé du personnel'!$E$4:$E$281,'F3 - Relevé du personnel'!$D$4:$D$281,$AM111,'F3 - Relevé du personnel'!$C$4:$C$281,'F0 - Données générales'!$K$31,'F3 - Relevé du personnel'!$B$4:$B$281,"0-3 ans")</f>
        <v>0</v>
      </c>
      <c r="AQ111" s="181">
        <f>SUMIFS('F3 - Relevé du personnel'!$H$4:$H$281,'F3 - Relevé du personnel'!$D$4:$D$281,$AM111,'F3 - Relevé du personnel'!$C$4:$C$281,'F0 - Données générales'!$K$31,'F3 - Relevé du personnel'!$B$4:$B$281,"0-3 ans")</f>
        <v>0</v>
      </c>
      <c r="AR111" s="256">
        <f>SUMIFS('F3 - Relevé du personnel'!$I$4:$I$281,'F3 - Relevé du personnel'!$D$4:$D$281,$AM111,'F3 - Relevé du personnel'!$C$4:$C$281,'F0 - Données générales'!$K$31,'F3 - Relevé du personnel'!$B$4:$B$281,"0-3 ans")</f>
        <v>0</v>
      </c>
      <c r="AS111" s="256">
        <f>SUMIFS('F3 - Relevé du personnel'!$M$4:$M$281,'F3 - Relevé du personnel'!$D$4:$D$281,$AM111,'F3 - Relevé du personnel'!$C$4:$C$281,'F0 - Données générales'!$K$31,'F3 - Relevé du personnel'!$B$4:$B$281,"0-3 ans")</f>
        <v>0</v>
      </c>
      <c r="AT111" s="196">
        <f t="shared" si="75"/>
        <v>0</v>
      </c>
      <c r="AU111" s="256">
        <f>SUMIFS('F3 - Relevé du personnel'!$O$4:$O$281,'F3 - Relevé du personnel'!$D$4:$D$281,$AM111,'F3 - Relevé du personnel'!$C$4:$C$281,'F0 - Données générales'!$K$31,'F3 - Relevé du personnel'!$B$4:$B$281,"0-3 ans")</f>
        <v>0</v>
      </c>
      <c r="AV111" s="256">
        <f>SUMIFS('F3 - Relevé du personnel'!$P$4:$P$281,'F3 - Relevé du personnel'!$D$4:$D$281,$AM111,'F3 - Relevé du personnel'!$C$4:$C$281,'F0 - Données générales'!$K$31,'F3 - Relevé du personnel'!$B$4:$B$281,"0-3 ans")</f>
        <v>0</v>
      </c>
      <c r="AW111" s="256">
        <f>SUMIFS('F3 - Relevé du personnel'!$Q$4:$Q$281,'F3 - Relevé du personnel'!$D$4:$D$281,$AM111,'F3 - Relevé du personnel'!$C$4:$C$281,'F0 - Données générales'!$K$31,'F3 - Relevé du personnel'!$B$4:$B$281,"0-3 ans")</f>
        <v>0</v>
      </c>
      <c r="AX111" s="182">
        <f t="shared" si="76"/>
        <v>0</v>
      </c>
      <c r="AY111" s="197" t="str">
        <f t="shared" si="77"/>
        <v/>
      </c>
      <c r="AZ111" s="198" t="str">
        <f>IF(AP111=0,"",(SUMPRODUCT(($D$4:$D$253=AM111)*($C$4:$C$253='F0 - Données générales'!$K$31)*($E$4:$E$253)*($F$4:$F$253)*($B$4:$B$253="0-3 ans"))+SUMPRODUCT(($D$257:$D$281=AM111)*($C$257:$C$281='F0 - Données générales'!$K$31)*($B$257:$B$281="0-3 ans")*($E$257:$E$281)*($F$257:$F$281)))/(SUMIFS('F3 - Relevé du personnel'!$E$4:$E$281,'F3 - Relevé du personnel'!$D$4:$D$281,$AM111,'F3 - Relevé du personnel'!$C$4:$C$281,'F0 - Données générales'!$K$31,'F3 - Relevé du personnel'!$B$4:$B$281,"0-3 ans")))</f>
        <v/>
      </c>
      <c r="BB111" s="823"/>
      <c r="BC111" s="824"/>
      <c r="BD111" s="825" t="s">
        <v>168</v>
      </c>
      <c r="BE111" s="826"/>
      <c r="BF111" s="827"/>
      <c r="BG111" s="190">
        <f>SUM(BG101:BG110)</f>
        <v>0</v>
      </c>
      <c r="BH111" s="191">
        <f>SUM(BH101:BH110)</f>
        <v>0</v>
      </c>
      <c r="BI111" s="191">
        <f>SUM(BI101:BI110)</f>
        <v>0</v>
      </c>
      <c r="BJ111" s="191">
        <f t="shared" si="66"/>
        <v>0</v>
      </c>
      <c r="BK111" s="191">
        <f>SUM(BK101:BK110)</f>
        <v>0</v>
      </c>
      <c r="BL111" s="191">
        <f>SUM(BL101:BL110)</f>
        <v>0</v>
      </c>
      <c r="BM111" s="191">
        <f>SUM(BM101:BM110)</f>
        <v>0</v>
      </c>
      <c r="BN111" s="192">
        <f>BH111+BI111-SUM(BK111:BM111)</f>
        <v>0</v>
      </c>
      <c r="BO111" s="192" t="str">
        <f t="shared" si="67"/>
        <v/>
      </c>
      <c r="BP111" s="193"/>
      <c r="BS111" s="63"/>
      <c r="BT111" s="63"/>
      <c r="BU111" s="63"/>
      <c r="BV111" s="14"/>
    </row>
    <row r="112" spans="1:74" ht="15" customHeight="1" x14ac:dyDescent="0.3">
      <c r="A112" s="106">
        <v>109</v>
      </c>
      <c r="B112" s="324">
        <f>'F0 - Données générales'!$C$4</f>
        <v>7</v>
      </c>
      <c r="C112" s="106" t="s">
        <v>95</v>
      </c>
      <c r="D112" s="106"/>
      <c r="E112" s="107"/>
      <c r="F112" s="108"/>
      <c r="G112" s="109"/>
      <c r="H112" s="110">
        <f t="shared" si="47"/>
        <v>0</v>
      </c>
      <c r="I112" s="177"/>
      <c r="J112" s="118" t="str">
        <f>IF(OR(D112="",F112=""),"",(((HLOOKUP(D112,'Carrières et points'!$A$20:$AD$60,F112+2,FALSE)*'Carrières et points'!$C$7*'Carrières et points'!$C$9)+(HLOOKUP(D112,'Carrières et points'!$A$20:$AD$60,F112+2,FALSE)*'Carrières et points'!$C$13*'Carrières et points'!$C$15))*(1+'F0 - Données générales'!$I$4)+((HLOOKUP(D112,'Carrières et points'!$A$20:$AD$60,F112+2,FALSE)*'Carrières et points'!$C$7*'Carrières et points'!$C$9)+(HLOOKUP(D112,'Carrières et points'!$A$20:$AD$60,F112+2,FALSE)*'Carrières et points'!$C$13*'Carrières et points'!$C$15))/12*(1+'F0 - Données générales'!$L$13))*E112)</f>
        <v/>
      </c>
      <c r="K112" s="118" t="str">
        <f t="shared" si="48"/>
        <v/>
      </c>
      <c r="L112" s="109"/>
      <c r="M112" s="177"/>
      <c r="N112" s="118" t="str">
        <f t="shared" si="49"/>
        <v/>
      </c>
      <c r="O112" s="177"/>
      <c r="P112" s="177"/>
      <c r="Q112" s="177"/>
      <c r="R112" s="255" t="str">
        <f t="shared" si="50"/>
        <v/>
      </c>
      <c r="S112" s="120"/>
      <c r="T112" s="742" t="s">
        <v>65</v>
      </c>
      <c r="U112" s="742"/>
      <c r="V112" s="26" t="s">
        <v>76</v>
      </c>
      <c r="W112" s="741" t="s">
        <v>77</v>
      </c>
      <c r="X112" s="741"/>
      <c r="Y112" s="181">
        <f>SUMIFS('F3 - Relevé du personnel'!$E$4:$E$281,'F3 - Relevé du personnel'!$D$4:$D$281,$V112,'F3 - Relevé du personnel'!$C$4:$C$281,'F0 - Données générales'!$K$31,'F3 - Relevé du personnel'!$B$4:$B$281,"8.3")</f>
        <v>0</v>
      </c>
      <c r="Z112" s="181">
        <f>SUMIFS('F3 - Relevé du personnel'!$H$4:$H$281,'F3 - Relevé du personnel'!$D$4:$D$281,$V112,'F3 - Relevé du personnel'!$C$4:$C$281,'F0 - Données générales'!$K$31,'F3 - Relevé du personnel'!$B$4:$B$281,"8.3")</f>
        <v>0</v>
      </c>
      <c r="AA112" s="256">
        <f>SUMIFS('F3 - Relevé du personnel'!$I$4:$I$281,'F3 - Relevé du personnel'!$D$4:$D$281,$V112,'F3 - Relevé du personnel'!$C$4:$C$281,'F0 - Données générales'!$K$31,'F3 - Relevé du personnel'!$B$4:$B$281,"8.3")</f>
        <v>0</v>
      </c>
      <c r="AB112" s="256">
        <f>SUMIFS('F3 - Relevé du personnel'!$M$4:$M$281,'F3 - Relevé du personnel'!$D$4:$D$281,$V112,'F3 - Relevé du personnel'!$C$4:$C$281,'F0 - Données générales'!$K$31,'F3 - Relevé du personnel'!$B$4:$B$281,"8.3")</f>
        <v>0</v>
      </c>
      <c r="AC112" s="196">
        <f t="shared" si="72"/>
        <v>0</v>
      </c>
      <c r="AD112" s="256">
        <f>SUMIFS('F3 - Relevé du personnel'!$O$4:$O$281,'F3 - Relevé du personnel'!$D$4:$D$281,$V112,'F3 - Relevé du personnel'!$C$4:$C$281,'F0 - Données générales'!$K$31,'F3 - Relevé du personnel'!$B$4:$B$281,"8.3")</f>
        <v>0</v>
      </c>
      <c r="AE112" s="256">
        <f>SUMIFS('F3 - Relevé du personnel'!$P$4:$P$281,'F3 - Relevé du personnel'!$D$4:$D$281,$V112,'F3 - Relevé du personnel'!$C$4:$C$281,'F0 - Données générales'!$K$31,'F3 - Relevé du personnel'!$B$4:$B$281,"8.3")</f>
        <v>0</v>
      </c>
      <c r="AF112" s="256">
        <f>SUMIFS('F3 - Relevé du personnel'!$Q$4:$Q$281,'F3 - Relevé du personnel'!$D$4:$D$281,$V112,'F3 - Relevé du personnel'!$C$4:$C$281,'F0 - Données générales'!$K$31,'F3 - Relevé du personnel'!$B$4:$B$281,"8.3")</f>
        <v>0</v>
      </c>
      <c r="AG112" s="182">
        <f t="shared" si="73"/>
        <v>0</v>
      </c>
      <c r="AH112" s="197" t="str">
        <f t="shared" si="74"/>
        <v/>
      </c>
      <c r="AI112" s="198" t="str">
        <f>IF(Y112=0,"",(SUMPRODUCT(($D$4:$D$253=V112)*($C$4:$C$253='F0 - Données générales'!$K$31)*($E$4:$E$253)*($F$4:$F$253)*($B$4:$B$253="8.3"))+SUMPRODUCT(($D$257:$D$281=V112)*($C$257:$C$281='F0 - Données générales'!$K$31)*($B$257:$B$281="8.3")*($E$257:$E$281)*($F$257:$F$281)))/(SUMIFS('F3 - Relevé du personnel'!$E$4:$E$281,'F3 - Relevé du personnel'!$D$4:$D$281,$V112,'F3 - Relevé du personnel'!$C$4:$C$281,'F0 - Données générales'!$K$31,'F3 - Relevé du personnel'!$B$4:$B$281,"8.3")))</f>
        <v/>
      </c>
      <c r="AK112" s="742" t="s">
        <v>65</v>
      </c>
      <c r="AL112" s="742"/>
      <c r="AM112" s="26" t="s">
        <v>76</v>
      </c>
      <c r="AN112" s="741" t="s">
        <v>77</v>
      </c>
      <c r="AO112" s="741"/>
      <c r="AP112" s="181">
        <f>SUMIFS('F3 - Relevé du personnel'!$E$4:$E$281,'F3 - Relevé du personnel'!$D$4:$D$281,$AM112,'F3 - Relevé du personnel'!$C$4:$C$281,'F0 - Données générales'!$K$31,'F3 - Relevé du personnel'!$B$4:$B$281,"0-3 ans")</f>
        <v>0</v>
      </c>
      <c r="AQ112" s="181">
        <f>SUMIFS('F3 - Relevé du personnel'!$H$4:$H$281,'F3 - Relevé du personnel'!$D$4:$D$281,$AM112,'F3 - Relevé du personnel'!$C$4:$C$281,'F0 - Données générales'!$K$31,'F3 - Relevé du personnel'!$B$4:$B$281,"0-3 ans")</f>
        <v>0</v>
      </c>
      <c r="AR112" s="256">
        <f>SUMIFS('F3 - Relevé du personnel'!$I$4:$I$281,'F3 - Relevé du personnel'!$D$4:$D$281,$AM112,'F3 - Relevé du personnel'!$C$4:$C$281,'F0 - Données générales'!$K$31,'F3 - Relevé du personnel'!$B$4:$B$281,"0-3 ans")</f>
        <v>0</v>
      </c>
      <c r="AS112" s="256">
        <f>SUMIFS('F3 - Relevé du personnel'!$M$4:$M$281,'F3 - Relevé du personnel'!$D$4:$D$281,$AM112,'F3 - Relevé du personnel'!$C$4:$C$281,'F0 - Données générales'!$K$31,'F3 - Relevé du personnel'!$B$4:$B$281,"0-3 ans")</f>
        <v>0</v>
      </c>
      <c r="AT112" s="196">
        <f t="shared" si="75"/>
        <v>0</v>
      </c>
      <c r="AU112" s="256">
        <f>SUMIFS('F3 - Relevé du personnel'!$O$4:$O$281,'F3 - Relevé du personnel'!$D$4:$D$281,$AM112,'F3 - Relevé du personnel'!$C$4:$C$281,'F0 - Données générales'!$K$31,'F3 - Relevé du personnel'!$B$4:$B$281,"0-3 ans")</f>
        <v>0</v>
      </c>
      <c r="AV112" s="256">
        <f>SUMIFS('F3 - Relevé du personnel'!$P$4:$P$281,'F3 - Relevé du personnel'!$D$4:$D$281,$AM112,'F3 - Relevé du personnel'!$C$4:$C$281,'F0 - Données générales'!$K$31,'F3 - Relevé du personnel'!$B$4:$B$281,"0-3 ans")</f>
        <v>0</v>
      </c>
      <c r="AW112" s="256">
        <f>SUMIFS('F3 - Relevé du personnel'!$Q$4:$Q$281,'F3 - Relevé du personnel'!$D$4:$D$281,$AM112,'F3 - Relevé du personnel'!$C$4:$C$281,'F0 - Données générales'!$K$31,'F3 - Relevé du personnel'!$B$4:$B$281,"0-3 ans")</f>
        <v>0</v>
      </c>
      <c r="AX112" s="182">
        <f t="shared" si="76"/>
        <v>0</v>
      </c>
      <c r="AY112" s="197" t="str">
        <f t="shared" si="77"/>
        <v/>
      </c>
      <c r="AZ112" s="198" t="str">
        <f>IF(AP112=0,"",(SUMPRODUCT(($D$4:$D$253=AM112)*($C$4:$C$253='F0 - Données générales'!$K$31)*($E$4:$E$253)*($F$4:$F$253)*($B$4:$B$253="0-3 ans"))+SUMPRODUCT(($D$257:$D$281=AM112)*($C$257:$C$281='F0 - Données générales'!$K$31)*($B$257:$B$281="0-3 ans")*($E$257:$E$281)*($F$257:$F$281)))/(SUMIFS('F3 - Relevé du personnel'!$E$4:$E$281,'F3 - Relevé du personnel'!$D$4:$D$281,$AM112,'F3 - Relevé du personnel'!$C$4:$C$281,'F0 - Données générales'!$K$31,'F3 - Relevé du personnel'!$B$4:$B$281,"0-3 ans")))</f>
        <v/>
      </c>
      <c r="BB112" s="774" t="s">
        <v>57</v>
      </c>
      <c r="BC112" s="775"/>
      <c r="BD112" s="775"/>
      <c r="BE112" s="775"/>
      <c r="BF112" s="811"/>
      <c r="BG112" s="46">
        <f t="shared" ref="BG112:BN112" si="78">BG91+BG98+BG100+BG111</f>
        <v>0</v>
      </c>
      <c r="BH112" s="47">
        <f t="shared" si="78"/>
        <v>0</v>
      </c>
      <c r="BI112" s="47">
        <f t="shared" si="78"/>
        <v>0</v>
      </c>
      <c r="BJ112" s="47">
        <f t="shared" si="78"/>
        <v>0</v>
      </c>
      <c r="BK112" s="47">
        <f t="shared" si="78"/>
        <v>0</v>
      </c>
      <c r="BL112" s="47">
        <f t="shared" si="78"/>
        <v>0</v>
      </c>
      <c r="BM112" s="47">
        <f t="shared" si="78"/>
        <v>0</v>
      </c>
      <c r="BN112" s="49">
        <f t="shared" si="78"/>
        <v>0</v>
      </c>
      <c r="BO112" s="49" t="str">
        <f t="shared" si="67"/>
        <v/>
      </c>
      <c r="BP112" s="173" t="str">
        <f>IF(BG112=0,"",(SUMPRODUCT(($C$4:$C$253='F0 - Données générales'!$K$33)*($E$4:$E$253)*($F$4:$F$253))+SUMPRODUCT(($C$257:$C$281='F0 - Données générales'!$K$33)*($E$257:$E$281)*($F$257:$F$281)))/(SUMIFS($E$4:$E$281,$C$4:$C$281,'F0 - Données générales'!$K$33)))</f>
        <v/>
      </c>
      <c r="BS112" s="63"/>
      <c r="BT112" s="63"/>
      <c r="BU112" s="63"/>
      <c r="BV112" s="14"/>
    </row>
    <row r="113" spans="1:74" ht="15" customHeight="1" x14ac:dyDescent="0.3">
      <c r="A113" s="106">
        <v>110</v>
      </c>
      <c r="B113" s="324">
        <f>'F0 - Données générales'!$C$4</f>
        <v>7</v>
      </c>
      <c r="C113" s="106" t="s">
        <v>95</v>
      </c>
      <c r="D113" s="106"/>
      <c r="E113" s="107"/>
      <c r="F113" s="108"/>
      <c r="G113" s="109"/>
      <c r="H113" s="110">
        <f t="shared" si="47"/>
        <v>0</v>
      </c>
      <c r="I113" s="177"/>
      <c r="J113" s="118" t="str">
        <f>IF(OR(D113="",F113=""),"",(((HLOOKUP(D113,'Carrières et points'!$A$20:$AD$60,F113+2,FALSE)*'Carrières et points'!$C$7*'Carrières et points'!$C$9)+(HLOOKUP(D113,'Carrières et points'!$A$20:$AD$60,F113+2,FALSE)*'Carrières et points'!$C$13*'Carrières et points'!$C$15))*(1+'F0 - Données générales'!$I$4)+((HLOOKUP(D113,'Carrières et points'!$A$20:$AD$60,F113+2,FALSE)*'Carrières et points'!$C$7*'Carrières et points'!$C$9)+(HLOOKUP(D113,'Carrières et points'!$A$20:$AD$60,F113+2,FALSE)*'Carrières et points'!$C$13*'Carrières et points'!$C$15))/12*(1+'F0 - Données générales'!$L$13))*E113)</f>
        <v/>
      </c>
      <c r="K113" s="118" t="str">
        <f t="shared" si="48"/>
        <v/>
      </c>
      <c r="L113" s="109"/>
      <c r="M113" s="177"/>
      <c r="N113" s="118" t="str">
        <f t="shared" si="49"/>
        <v/>
      </c>
      <c r="O113" s="177"/>
      <c r="P113" s="177"/>
      <c r="Q113" s="177"/>
      <c r="R113" s="255" t="str">
        <f t="shared" si="50"/>
        <v/>
      </c>
      <c r="S113" s="120"/>
      <c r="T113" s="742" t="s">
        <v>65</v>
      </c>
      <c r="U113" s="742"/>
      <c r="V113" s="26" t="s">
        <v>252</v>
      </c>
      <c r="W113" s="741" t="s">
        <v>78</v>
      </c>
      <c r="X113" s="741"/>
      <c r="Y113" s="181">
        <f>SUMIFS('F3 - Relevé du personnel'!$E$4:$E$281,'F3 - Relevé du personnel'!$D$4:$D$281,$V113,'F3 - Relevé du personnel'!$C$4:$C$281,'F0 - Données générales'!$K$31,'F3 - Relevé du personnel'!$B$4:$B$281,"8.3")</f>
        <v>0</v>
      </c>
      <c r="Z113" s="181">
        <f>SUMIFS('F3 - Relevé du personnel'!$H$4:$H$281,'F3 - Relevé du personnel'!$D$4:$D$281,$V113,'F3 - Relevé du personnel'!$C$4:$C$281,'F0 - Données générales'!$K$31,'F3 - Relevé du personnel'!$B$4:$B$281,"8.3")</f>
        <v>0</v>
      </c>
      <c r="AA113" s="256">
        <f>SUMIFS('F3 - Relevé du personnel'!$I$4:$I$281,'F3 - Relevé du personnel'!$D$4:$D$281,$V113,'F3 - Relevé du personnel'!$C$4:$C$281,'F0 - Données générales'!$K$31,'F3 - Relevé du personnel'!$B$4:$B$281,"8.3")</f>
        <v>0</v>
      </c>
      <c r="AB113" s="256">
        <f>SUMIFS('F3 - Relevé du personnel'!$M$4:$M$281,'F3 - Relevé du personnel'!$D$4:$D$281,$V113,'F3 - Relevé du personnel'!$C$4:$C$281,'F0 - Données générales'!$K$31,'F3 - Relevé du personnel'!$B$4:$B$281,"8.3")</f>
        <v>0</v>
      </c>
      <c r="AC113" s="196">
        <f t="shared" si="72"/>
        <v>0</v>
      </c>
      <c r="AD113" s="256">
        <f>SUMIFS('F3 - Relevé du personnel'!$O$4:$O$281,'F3 - Relevé du personnel'!$D$4:$D$281,$V113,'F3 - Relevé du personnel'!$C$4:$C$281,'F0 - Données générales'!$K$31,'F3 - Relevé du personnel'!$B$4:$B$281,"8.3")</f>
        <v>0</v>
      </c>
      <c r="AE113" s="256">
        <f>SUMIFS('F3 - Relevé du personnel'!$P$4:$P$281,'F3 - Relevé du personnel'!$D$4:$D$281,$V113,'F3 - Relevé du personnel'!$C$4:$C$281,'F0 - Données générales'!$K$31,'F3 - Relevé du personnel'!$B$4:$B$281,"8.3")</f>
        <v>0</v>
      </c>
      <c r="AF113" s="256">
        <f>SUMIFS('F3 - Relevé du personnel'!$Q$4:$Q$281,'F3 - Relevé du personnel'!$D$4:$D$281,$V113,'F3 - Relevé du personnel'!$C$4:$C$281,'F0 - Données générales'!$K$31,'F3 - Relevé du personnel'!$B$4:$B$281,"8.3")</f>
        <v>0</v>
      </c>
      <c r="AG113" s="182">
        <f t="shared" si="73"/>
        <v>0</v>
      </c>
      <c r="AH113" s="197" t="str">
        <f t="shared" si="74"/>
        <v/>
      </c>
      <c r="AI113" s="198" t="str">
        <f>IF(Y113=0,"",(SUMPRODUCT(($D$4:$D$253=V113)*($C$4:$C$253='F0 - Données générales'!$K$31)*($E$4:$E$253)*($F$4:$F$253)*($B$4:$B$253="8.3"))+SUMPRODUCT(($D$257:$D$281=V113)*($C$257:$C$281='F0 - Données générales'!$K$31)*($B$257:$B$281="8.3")*($E$257:$E$281)*($F$257:$F$281)))/(SUMIFS('F3 - Relevé du personnel'!$E$4:$E$281,'F3 - Relevé du personnel'!$D$4:$D$281,$V113,'F3 - Relevé du personnel'!$C$4:$C$281,'F0 - Données générales'!$K$31,'F3 - Relevé du personnel'!$B$4:$B$281,"8.3")))</f>
        <v/>
      </c>
      <c r="AK113" s="742" t="s">
        <v>65</v>
      </c>
      <c r="AL113" s="742"/>
      <c r="AM113" s="26" t="s">
        <v>252</v>
      </c>
      <c r="AN113" s="741" t="s">
        <v>78</v>
      </c>
      <c r="AO113" s="741"/>
      <c r="AP113" s="181">
        <f>SUMIFS('F3 - Relevé du personnel'!$E$4:$E$281,'F3 - Relevé du personnel'!$D$4:$D$281,$AM113,'F3 - Relevé du personnel'!$C$4:$C$281,'F0 - Données générales'!$K$31,'F3 - Relevé du personnel'!$B$4:$B$281,"0-3 ans")</f>
        <v>0</v>
      </c>
      <c r="AQ113" s="181">
        <f>SUMIFS('F3 - Relevé du personnel'!$H$4:$H$281,'F3 - Relevé du personnel'!$D$4:$D$281,$AM113,'F3 - Relevé du personnel'!$C$4:$C$281,'F0 - Données générales'!$K$31,'F3 - Relevé du personnel'!$B$4:$B$281,"0-3 ans")</f>
        <v>0</v>
      </c>
      <c r="AR113" s="256">
        <f>SUMIFS('F3 - Relevé du personnel'!$I$4:$I$281,'F3 - Relevé du personnel'!$D$4:$D$281,$AM113,'F3 - Relevé du personnel'!$C$4:$C$281,'F0 - Données générales'!$K$31,'F3 - Relevé du personnel'!$B$4:$B$281,"0-3 ans")</f>
        <v>0</v>
      </c>
      <c r="AS113" s="256">
        <f>SUMIFS('F3 - Relevé du personnel'!$M$4:$M$281,'F3 - Relevé du personnel'!$D$4:$D$281,$AM113,'F3 - Relevé du personnel'!$C$4:$C$281,'F0 - Données générales'!$K$31,'F3 - Relevé du personnel'!$B$4:$B$281,"0-3 ans")</f>
        <v>0</v>
      </c>
      <c r="AT113" s="196">
        <f t="shared" si="75"/>
        <v>0</v>
      </c>
      <c r="AU113" s="256">
        <f>SUMIFS('F3 - Relevé du personnel'!$O$4:$O$281,'F3 - Relevé du personnel'!$D$4:$D$281,$AM113,'F3 - Relevé du personnel'!$C$4:$C$281,'F0 - Données générales'!$K$31,'F3 - Relevé du personnel'!$B$4:$B$281,"0-3 ans")</f>
        <v>0</v>
      </c>
      <c r="AV113" s="256">
        <f>SUMIFS('F3 - Relevé du personnel'!$P$4:$P$281,'F3 - Relevé du personnel'!$D$4:$D$281,$AM113,'F3 - Relevé du personnel'!$C$4:$C$281,'F0 - Données générales'!$K$31,'F3 - Relevé du personnel'!$B$4:$B$281,"0-3 ans")</f>
        <v>0</v>
      </c>
      <c r="AW113" s="256">
        <f>SUMIFS('F3 - Relevé du personnel'!$Q$4:$Q$281,'F3 - Relevé du personnel'!$D$4:$D$281,$AM113,'F3 - Relevé du personnel'!$C$4:$C$281,'F0 - Données générales'!$K$31,'F3 - Relevé du personnel'!$B$4:$B$281,"0-3 ans")</f>
        <v>0</v>
      </c>
      <c r="AX113" s="182">
        <f t="shared" si="76"/>
        <v>0</v>
      </c>
      <c r="AY113" s="197" t="str">
        <f t="shared" si="77"/>
        <v/>
      </c>
      <c r="AZ113" s="198" t="str">
        <f>IF(AP113=0,"",(SUMPRODUCT(($D$4:$D$253=AM113)*($C$4:$C$253='F0 - Données générales'!$K$31)*($E$4:$E$253)*($F$4:$F$253)*($B$4:$B$253="0-3 ans"))+SUMPRODUCT(($D$257:$D$281=AM113)*($C$257:$C$281='F0 - Données générales'!$K$31)*($B$257:$B$281="0-3 ans")*($E$257:$E$281)*($F$257:$F$281)))/(SUMIFS('F3 - Relevé du personnel'!$E$4:$E$281,'F3 - Relevé du personnel'!$D$4:$D$281,$AM113,'F3 - Relevé du personnel'!$C$4:$C$281,'F0 - Données générales'!$K$31,'F3 - Relevé du personnel'!$B$4:$B$281,"0-3 ans")))</f>
        <v/>
      </c>
      <c r="BS113" s="63"/>
      <c r="BT113" s="63"/>
      <c r="BU113" s="63"/>
      <c r="BV113" s="132"/>
    </row>
    <row r="114" spans="1:74" ht="15" customHeight="1" x14ac:dyDescent="0.3">
      <c r="A114" s="106">
        <v>111</v>
      </c>
      <c r="B114" s="324">
        <f>'F0 - Données générales'!$C$4</f>
        <v>7</v>
      </c>
      <c r="C114" s="106" t="s">
        <v>95</v>
      </c>
      <c r="D114" s="106"/>
      <c r="E114" s="107"/>
      <c r="F114" s="108"/>
      <c r="G114" s="109"/>
      <c r="H114" s="110">
        <f t="shared" si="47"/>
        <v>0</v>
      </c>
      <c r="I114" s="177"/>
      <c r="J114" s="118" t="str">
        <f>IF(OR(D114="",F114=""),"",(((HLOOKUP(D114,'Carrières et points'!$A$20:$AD$60,F114+2,FALSE)*'Carrières et points'!$C$7*'Carrières et points'!$C$9)+(HLOOKUP(D114,'Carrières et points'!$A$20:$AD$60,F114+2,FALSE)*'Carrières et points'!$C$13*'Carrières et points'!$C$15))*(1+'F0 - Données générales'!$I$4)+((HLOOKUP(D114,'Carrières et points'!$A$20:$AD$60,F114+2,FALSE)*'Carrières et points'!$C$7*'Carrières et points'!$C$9)+(HLOOKUP(D114,'Carrières et points'!$A$20:$AD$60,F114+2,FALSE)*'Carrières et points'!$C$13*'Carrières et points'!$C$15))/12*(1+'F0 - Données générales'!$L$13))*E114)</f>
        <v/>
      </c>
      <c r="K114" s="118" t="str">
        <f t="shared" si="48"/>
        <v/>
      </c>
      <c r="L114" s="109"/>
      <c r="M114" s="177"/>
      <c r="N114" s="118" t="str">
        <f t="shared" si="49"/>
        <v/>
      </c>
      <c r="O114" s="177"/>
      <c r="P114" s="177"/>
      <c r="Q114" s="177"/>
      <c r="R114" s="255" t="str">
        <f t="shared" si="50"/>
        <v/>
      </c>
      <c r="S114" s="120"/>
      <c r="T114" s="742" t="s">
        <v>79</v>
      </c>
      <c r="U114" s="742"/>
      <c r="V114" s="26" t="s">
        <v>253</v>
      </c>
      <c r="W114" s="741" t="s">
        <v>78</v>
      </c>
      <c r="X114" s="741"/>
      <c r="Y114" s="181">
        <f>SUMIFS('F3 - Relevé du personnel'!$E$4:$E$281,'F3 - Relevé du personnel'!$D$4:$D$281,$V114,'F3 - Relevé du personnel'!$C$4:$C$281,'F0 - Données générales'!$K$31,'F3 - Relevé du personnel'!$B$4:$B$281,"8.3")</f>
        <v>0</v>
      </c>
      <c r="Z114" s="181">
        <f>SUMIFS('F3 - Relevé du personnel'!$H$4:$H$281,'F3 - Relevé du personnel'!$D$4:$D$281,$V114,'F3 - Relevé du personnel'!$C$4:$C$281,'F0 - Données générales'!$K$31,'F3 - Relevé du personnel'!$B$4:$B$281,"8.3")</f>
        <v>0</v>
      </c>
      <c r="AA114" s="256">
        <f>SUMIFS('F3 - Relevé du personnel'!$I$4:$I$281,'F3 - Relevé du personnel'!$D$4:$D$281,$V114,'F3 - Relevé du personnel'!$C$4:$C$281,'F0 - Données générales'!$K$31,'F3 - Relevé du personnel'!$B$4:$B$281,"8.3")</f>
        <v>0</v>
      </c>
      <c r="AB114" s="256">
        <f>SUMIFS('F3 - Relevé du personnel'!$M$4:$M$281,'F3 - Relevé du personnel'!$D$4:$D$281,$V114,'F3 - Relevé du personnel'!$C$4:$C$281,'F0 - Données générales'!$K$31,'F3 - Relevé du personnel'!$B$4:$B$281,"8.3")</f>
        <v>0</v>
      </c>
      <c r="AC114" s="196">
        <f t="shared" si="72"/>
        <v>0</v>
      </c>
      <c r="AD114" s="256">
        <f>SUMIFS('F3 - Relevé du personnel'!$O$4:$O$281,'F3 - Relevé du personnel'!$D$4:$D$281,$V114,'F3 - Relevé du personnel'!$C$4:$C$281,'F0 - Données générales'!$K$31,'F3 - Relevé du personnel'!$B$4:$B$281,"8.3")</f>
        <v>0</v>
      </c>
      <c r="AE114" s="256">
        <f>SUMIFS('F3 - Relevé du personnel'!$P$4:$P$281,'F3 - Relevé du personnel'!$D$4:$D$281,$V114,'F3 - Relevé du personnel'!$C$4:$C$281,'F0 - Données générales'!$K$31,'F3 - Relevé du personnel'!$B$4:$B$281,"8.3")</f>
        <v>0</v>
      </c>
      <c r="AF114" s="256">
        <f>SUMIFS('F3 - Relevé du personnel'!$Q$4:$Q$281,'F3 - Relevé du personnel'!$D$4:$D$281,$V114,'F3 - Relevé du personnel'!$C$4:$C$281,'F0 - Données générales'!$K$31,'F3 - Relevé du personnel'!$B$4:$B$281,"8.3")</f>
        <v>0</v>
      </c>
      <c r="AG114" s="182">
        <f t="shared" si="73"/>
        <v>0</v>
      </c>
      <c r="AH114" s="197" t="str">
        <f t="shared" si="74"/>
        <v/>
      </c>
      <c r="AI114" s="198" t="str">
        <f>IF(Y114=0,"",(SUMPRODUCT(($D$4:$D$253=V114)*($C$4:$C$253='F0 - Données générales'!$K$31)*($E$4:$E$253)*($F$4:$F$253)*($B$4:$B$253="8.3"))+SUMPRODUCT(($D$257:$D$281=V114)*($C$257:$C$281='F0 - Données générales'!$K$31)*($B$257:$B$281="8.3")*($E$257:$E$281)*($F$257:$F$281)))/(SUMIFS('F3 - Relevé du personnel'!$E$4:$E$281,'F3 - Relevé du personnel'!$D$4:$D$281,$V114,'F3 - Relevé du personnel'!$C$4:$C$281,'F0 - Données générales'!$K$31,'F3 - Relevé du personnel'!$B$4:$B$281,"8.3")))</f>
        <v/>
      </c>
      <c r="AK114" s="742" t="s">
        <v>79</v>
      </c>
      <c r="AL114" s="742"/>
      <c r="AM114" s="26" t="s">
        <v>253</v>
      </c>
      <c r="AN114" s="741" t="s">
        <v>78</v>
      </c>
      <c r="AO114" s="741"/>
      <c r="AP114" s="181">
        <f>SUMIFS('F3 - Relevé du personnel'!$E$4:$E$281,'F3 - Relevé du personnel'!$D$4:$D$281,$AM114,'F3 - Relevé du personnel'!$C$4:$C$281,'F0 - Données générales'!$K$31,'F3 - Relevé du personnel'!$B$4:$B$281,"0-3 ans")</f>
        <v>0</v>
      </c>
      <c r="AQ114" s="181">
        <f>SUMIFS('F3 - Relevé du personnel'!$H$4:$H$281,'F3 - Relevé du personnel'!$D$4:$D$281,$AM114,'F3 - Relevé du personnel'!$C$4:$C$281,'F0 - Données générales'!$K$31,'F3 - Relevé du personnel'!$B$4:$B$281,"0-3 ans")</f>
        <v>0</v>
      </c>
      <c r="AR114" s="256">
        <f>SUMIFS('F3 - Relevé du personnel'!$I$4:$I$281,'F3 - Relevé du personnel'!$D$4:$D$281,$AM114,'F3 - Relevé du personnel'!$C$4:$C$281,'F0 - Données générales'!$K$31,'F3 - Relevé du personnel'!$B$4:$B$281,"0-3 ans")</f>
        <v>0</v>
      </c>
      <c r="AS114" s="256">
        <f>SUMIFS('F3 - Relevé du personnel'!$M$4:$M$281,'F3 - Relevé du personnel'!$D$4:$D$281,$AM114,'F3 - Relevé du personnel'!$C$4:$C$281,'F0 - Données générales'!$K$31,'F3 - Relevé du personnel'!$B$4:$B$281,"0-3 ans")</f>
        <v>0</v>
      </c>
      <c r="AT114" s="196">
        <f t="shared" si="75"/>
        <v>0</v>
      </c>
      <c r="AU114" s="256">
        <f>SUMIFS('F3 - Relevé du personnel'!$O$4:$O$281,'F3 - Relevé du personnel'!$D$4:$D$281,$AM114,'F3 - Relevé du personnel'!$C$4:$C$281,'F0 - Données générales'!$K$31,'F3 - Relevé du personnel'!$B$4:$B$281,"0-3 ans")</f>
        <v>0</v>
      </c>
      <c r="AV114" s="256">
        <f>SUMIFS('F3 - Relevé du personnel'!$P$4:$P$281,'F3 - Relevé du personnel'!$D$4:$D$281,$AM114,'F3 - Relevé du personnel'!$C$4:$C$281,'F0 - Données générales'!$K$31,'F3 - Relevé du personnel'!$B$4:$B$281,"0-3 ans")</f>
        <v>0</v>
      </c>
      <c r="AW114" s="256">
        <f>SUMIFS('F3 - Relevé du personnel'!$Q$4:$Q$281,'F3 - Relevé du personnel'!$D$4:$D$281,$AM114,'F3 - Relevé du personnel'!$C$4:$C$281,'F0 - Données générales'!$K$31,'F3 - Relevé du personnel'!$B$4:$B$281,"0-3 ans")</f>
        <v>0</v>
      </c>
      <c r="AX114" s="182">
        <f t="shared" si="76"/>
        <v>0</v>
      </c>
      <c r="AY114" s="197" t="str">
        <f t="shared" si="77"/>
        <v/>
      </c>
      <c r="AZ114" s="198" t="str">
        <f>IF(AP114=0,"",(SUMPRODUCT(($D$4:$D$253=AM114)*($C$4:$C$253='F0 - Données générales'!$K$31)*($E$4:$E$253)*($F$4:$F$253)*($B$4:$B$253="0-3 ans"))+SUMPRODUCT(($D$257:$D$281=AM114)*($C$257:$C$281='F0 - Données générales'!$K$31)*($B$257:$B$281="0-3 ans")*($E$257:$E$281)*($F$257:$F$281)))/(SUMIFS('F3 - Relevé du personnel'!$E$4:$E$281,'F3 - Relevé du personnel'!$D$4:$D$281,$AM114,'F3 - Relevé du personnel'!$C$4:$C$281,'F0 - Données générales'!$K$31,'F3 - Relevé du personnel'!$B$4:$B$281,"0-3 ans")))</f>
        <v/>
      </c>
      <c r="BB114" s="1" t="s">
        <v>332</v>
      </c>
      <c r="BC114" s="169"/>
      <c r="BD114" s="169"/>
      <c r="BE114" s="169"/>
      <c r="BF114" s="169"/>
      <c r="BG114" s="179"/>
      <c r="BH114" s="170"/>
      <c r="BI114" s="170"/>
      <c r="BJ114" s="170"/>
      <c r="BK114" s="170"/>
      <c r="BL114" s="170"/>
      <c r="BM114" s="170"/>
      <c r="BN114" s="172"/>
      <c r="BO114" s="172"/>
      <c r="BP114" s="180"/>
      <c r="BS114" s="63"/>
      <c r="BT114" s="63"/>
      <c r="BU114" s="63"/>
      <c r="BV114" s="14"/>
    </row>
    <row r="115" spans="1:74" ht="15" customHeight="1" x14ac:dyDescent="0.3">
      <c r="A115" s="106">
        <v>112</v>
      </c>
      <c r="B115" s="324">
        <f>'F0 - Données générales'!$C$4</f>
        <v>7</v>
      </c>
      <c r="C115" s="106" t="s">
        <v>95</v>
      </c>
      <c r="D115" s="106"/>
      <c r="E115" s="107"/>
      <c r="F115" s="108"/>
      <c r="G115" s="109"/>
      <c r="H115" s="110">
        <f t="shared" si="47"/>
        <v>0</v>
      </c>
      <c r="I115" s="177"/>
      <c r="J115" s="118" t="str">
        <f>IF(OR(D115="",F115=""),"",(((HLOOKUP(D115,'Carrières et points'!$A$20:$AD$60,F115+2,FALSE)*'Carrières et points'!$C$7*'Carrières et points'!$C$9)+(HLOOKUP(D115,'Carrières et points'!$A$20:$AD$60,F115+2,FALSE)*'Carrières et points'!$C$13*'Carrières et points'!$C$15))*(1+'F0 - Données générales'!$I$4)+((HLOOKUP(D115,'Carrières et points'!$A$20:$AD$60,F115+2,FALSE)*'Carrières et points'!$C$7*'Carrières et points'!$C$9)+(HLOOKUP(D115,'Carrières et points'!$A$20:$AD$60,F115+2,FALSE)*'Carrières et points'!$C$13*'Carrières et points'!$C$15))/12*(1+'F0 - Données générales'!$L$13))*E115)</f>
        <v/>
      </c>
      <c r="K115" s="118" t="str">
        <f t="shared" si="48"/>
        <v/>
      </c>
      <c r="L115" s="109"/>
      <c r="M115" s="177"/>
      <c r="N115" s="118" t="str">
        <f t="shared" si="49"/>
        <v/>
      </c>
      <c r="O115" s="177"/>
      <c r="P115" s="177"/>
      <c r="Q115" s="177"/>
      <c r="R115" s="255" t="str">
        <f t="shared" si="50"/>
        <v/>
      </c>
      <c r="S115" s="120"/>
      <c r="T115" s="743"/>
      <c r="U115" s="743"/>
      <c r="V115" s="749" t="s">
        <v>165</v>
      </c>
      <c r="W115" s="749"/>
      <c r="X115" s="749"/>
      <c r="Y115" s="199">
        <f>SUM(Y106:Y114)</f>
        <v>0</v>
      </c>
      <c r="Z115" s="199">
        <f>SUM(Z106:Z114)</f>
        <v>0</v>
      </c>
      <c r="AA115" s="200">
        <f>SUM(AA106:AA114)</f>
        <v>0</v>
      </c>
      <c r="AB115" s="200">
        <f>SUM(AB106:AB114)</f>
        <v>0</v>
      </c>
      <c r="AC115" s="200">
        <f t="shared" si="72"/>
        <v>0</v>
      </c>
      <c r="AD115" s="200">
        <f>SUM(AD106:AD114)</f>
        <v>0</v>
      </c>
      <c r="AE115" s="200">
        <f>SUM(AE106:AE114)</f>
        <v>0</v>
      </c>
      <c r="AF115" s="200">
        <f>SUM(AF106:AF114)</f>
        <v>0</v>
      </c>
      <c r="AG115" s="201">
        <f t="shared" si="73"/>
        <v>0</v>
      </c>
      <c r="AH115" s="201" t="str">
        <f t="shared" si="74"/>
        <v/>
      </c>
      <c r="AI115" s="202"/>
      <c r="AK115" s="743"/>
      <c r="AL115" s="743"/>
      <c r="AM115" s="749" t="s">
        <v>165</v>
      </c>
      <c r="AN115" s="749"/>
      <c r="AO115" s="749"/>
      <c r="AP115" s="199">
        <f>SUM(AP106:AP114)</f>
        <v>0</v>
      </c>
      <c r="AQ115" s="199">
        <f>SUM(AQ106:AQ114)</f>
        <v>0</v>
      </c>
      <c r="AR115" s="200">
        <f>SUM(AR106:AR114)</f>
        <v>0</v>
      </c>
      <c r="AS115" s="200">
        <f>SUM(AS106:AS114)</f>
        <v>0</v>
      </c>
      <c r="AT115" s="200">
        <f>(AR115+AS115)</f>
        <v>0</v>
      </c>
      <c r="AU115" s="200">
        <f>SUM(AU106:AU114)</f>
        <v>0</v>
      </c>
      <c r="AV115" s="200">
        <f>SUM(AV106:AV114)</f>
        <v>0</v>
      </c>
      <c r="AW115" s="200">
        <f>SUM(AW106:AW114)</f>
        <v>0</v>
      </c>
      <c r="AX115" s="201">
        <f>AR115+AS115-SUM(AU115:AW115)</f>
        <v>0</v>
      </c>
      <c r="AY115" s="201" t="str">
        <f t="shared" ref="AY115:AY136" si="79">IF(AP115=0,"",(AX115)/AP115)</f>
        <v/>
      </c>
      <c r="AZ115" s="202"/>
      <c r="BB115" s="768" t="s">
        <v>58</v>
      </c>
      <c r="BC115" s="769"/>
      <c r="BD115" s="768" t="s">
        <v>55</v>
      </c>
      <c r="BE115" s="780"/>
      <c r="BF115" s="769"/>
      <c r="BG115" s="812" t="s">
        <v>407</v>
      </c>
      <c r="BH115" s="812" t="s">
        <v>299</v>
      </c>
      <c r="BI115" s="812" t="s">
        <v>304</v>
      </c>
      <c r="BJ115" s="812" t="s">
        <v>733</v>
      </c>
      <c r="BK115" s="812" t="s">
        <v>284</v>
      </c>
      <c r="BL115" s="812" t="s">
        <v>323</v>
      </c>
      <c r="BM115" s="812" t="s">
        <v>60</v>
      </c>
      <c r="BN115" s="812" t="s">
        <v>734</v>
      </c>
      <c r="BO115" s="812" t="s">
        <v>735</v>
      </c>
      <c r="BP115" s="812" t="s">
        <v>313</v>
      </c>
      <c r="BS115" s="63"/>
      <c r="BT115" s="63"/>
      <c r="BU115" s="63"/>
      <c r="BV115" s="132"/>
    </row>
    <row r="116" spans="1:74" ht="15" customHeight="1" x14ac:dyDescent="0.3">
      <c r="A116" s="106">
        <v>113</v>
      </c>
      <c r="B116" s="324">
        <f>'F0 - Données générales'!$C$4</f>
        <v>7</v>
      </c>
      <c r="C116" s="106" t="s">
        <v>95</v>
      </c>
      <c r="D116" s="106"/>
      <c r="E116" s="107"/>
      <c r="F116" s="108"/>
      <c r="G116" s="109"/>
      <c r="H116" s="110">
        <f t="shared" si="47"/>
        <v>0</v>
      </c>
      <c r="I116" s="177"/>
      <c r="J116" s="118" t="str">
        <f>IF(OR(D116="",F116=""),"",(((HLOOKUP(D116,'Carrières et points'!$A$20:$AD$60,F116+2,FALSE)*'Carrières et points'!$C$7*'Carrières et points'!$C$9)+(HLOOKUP(D116,'Carrières et points'!$A$20:$AD$60,F116+2,FALSE)*'Carrières et points'!$C$13*'Carrières et points'!$C$15))*(1+'F0 - Données générales'!$I$4)+((HLOOKUP(D116,'Carrières et points'!$A$20:$AD$60,F116+2,FALSE)*'Carrières et points'!$C$7*'Carrières et points'!$C$9)+(HLOOKUP(D116,'Carrières et points'!$A$20:$AD$60,F116+2,FALSE)*'Carrières et points'!$C$13*'Carrières et points'!$C$15))/12*(1+'F0 - Données générales'!$L$13))*E116)</f>
        <v/>
      </c>
      <c r="K116" s="118" t="str">
        <f t="shared" si="48"/>
        <v/>
      </c>
      <c r="L116" s="109"/>
      <c r="M116" s="177"/>
      <c r="N116" s="118" t="str">
        <f t="shared" si="49"/>
        <v/>
      </c>
      <c r="O116" s="177"/>
      <c r="P116" s="177"/>
      <c r="Q116" s="177"/>
      <c r="R116" s="255" t="str">
        <f t="shared" si="50"/>
        <v/>
      </c>
      <c r="S116" s="120"/>
      <c r="T116" s="742" t="s">
        <v>61</v>
      </c>
      <c r="U116" s="742"/>
      <c r="V116" s="26" t="s">
        <v>80</v>
      </c>
      <c r="W116" s="741" t="s">
        <v>81</v>
      </c>
      <c r="X116" s="741"/>
      <c r="Y116" s="181">
        <f>SUMIFS('F3 - Relevé du personnel'!$E$4:$E$281,'F3 - Relevé du personnel'!$D$4:$D$281,$V116,'F3 - Relevé du personnel'!$C$4:$C$281,'F0 - Données générales'!$K$31,'F3 - Relevé du personnel'!$B$4:$B$281,"8.3")</f>
        <v>0</v>
      </c>
      <c r="Z116" s="181">
        <f>SUMIFS('F3 - Relevé du personnel'!$H$4:$H$281,'F3 - Relevé du personnel'!$D$4:$D$281,$V116,'F3 - Relevé du personnel'!$C$4:$C$281,'F0 - Données générales'!$K$31,'F3 - Relevé du personnel'!$B$4:$B$281,"8.3")</f>
        <v>0</v>
      </c>
      <c r="AA116" s="256">
        <f>SUMIFS('F3 - Relevé du personnel'!$I$4:$I$281,'F3 - Relevé du personnel'!$D$4:$D$281,$V116,'F3 - Relevé du personnel'!$C$4:$C$281,'F0 - Données générales'!$K$31,'F3 - Relevé du personnel'!$B$4:$B$281,"8.3")</f>
        <v>0</v>
      </c>
      <c r="AB116" s="256">
        <f>SUMIFS('F3 - Relevé du personnel'!$M$4:$M$281,'F3 - Relevé du personnel'!$D$4:$D$281,$V116,'F3 - Relevé du personnel'!$C$4:$C$281,'F0 - Données générales'!$K$31,'F3 - Relevé du personnel'!$B$4:$B$281,"8.3")</f>
        <v>0</v>
      </c>
      <c r="AC116" s="196">
        <f t="shared" si="72"/>
        <v>0</v>
      </c>
      <c r="AD116" s="256">
        <f>SUMIFS('F3 - Relevé du personnel'!$O$4:$O$281,'F3 - Relevé du personnel'!$D$4:$D$281,$V116,'F3 - Relevé du personnel'!$C$4:$C$281,'F0 - Données générales'!$K$31,'F3 - Relevé du personnel'!$B$4:$B$281,"8.3")</f>
        <v>0</v>
      </c>
      <c r="AE116" s="256">
        <f>SUMIFS('F3 - Relevé du personnel'!$P$4:$P$281,'F3 - Relevé du personnel'!$D$4:$D$281,$V116,'F3 - Relevé du personnel'!$C$4:$C$281,'F0 - Données générales'!$K$31,'F3 - Relevé du personnel'!$B$4:$B$281,"8.3")</f>
        <v>0</v>
      </c>
      <c r="AF116" s="256">
        <f>SUMIFS('F3 - Relevé du personnel'!$Q$4:$Q$281,'F3 - Relevé du personnel'!$D$4:$D$281,$V116,'F3 - Relevé du personnel'!$C$4:$C$281,'F0 - Données générales'!$K$31,'F3 - Relevé du personnel'!$B$4:$B$281,"8.3")</f>
        <v>0</v>
      </c>
      <c r="AG116" s="182">
        <f t="shared" si="73"/>
        <v>0</v>
      </c>
      <c r="AH116" s="197" t="str">
        <f t="shared" si="74"/>
        <v/>
      </c>
      <c r="AI116" s="198" t="str">
        <f>IF(Y116=0,"",(SUMPRODUCT(($D$4:$D$253=V116)*($C$4:$C$253='F0 - Données générales'!$K$31)*($E$4:$E$253)*($F$4:$F$253)*($B$4:$B$253="8.3"))+SUMPRODUCT(($D$257:$D$281=V116)*($C$257:$C$281='F0 - Données générales'!$K$31)*($B$257:$B$281="8.3")*($E$257:$E$281)*($F$257:$F$281)))/(SUMIFS('F3 - Relevé du personnel'!$E$4:$E$281,'F3 - Relevé du personnel'!$D$4:$D$281,$V116,'F3 - Relevé du personnel'!$C$4:$C$281,'F0 - Données générales'!$K$31,'F3 - Relevé du personnel'!$B$4:$B$281,"8.3")))</f>
        <v/>
      </c>
      <c r="AK116" s="742" t="s">
        <v>61</v>
      </c>
      <c r="AL116" s="742"/>
      <c r="AM116" s="26" t="s">
        <v>80</v>
      </c>
      <c r="AN116" s="741" t="s">
        <v>81</v>
      </c>
      <c r="AO116" s="741"/>
      <c r="AP116" s="181">
        <f>SUMIFS('F3 - Relevé du personnel'!$E$4:$E$281,'F3 - Relevé du personnel'!$D$4:$D$281,$AM116,'F3 - Relevé du personnel'!$C$4:$C$281,'F0 - Données générales'!$K$31,'F3 - Relevé du personnel'!$B$4:$B$281,"0-3 ans")</f>
        <v>0</v>
      </c>
      <c r="AQ116" s="181">
        <f>SUMIFS('F3 - Relevé du personnel'!$H$4:$H$281,'F3 - Relevé du personnel'!$D$4:$D$281,$AM116,'F3 - Relevé du personnel'!$C$4:$C$281,'F0 - Données générales'!$K$31,'F3 - Relevé du personnel'!$B$4:$B$281,"0-3 ans")</f>
        <v>0</v>
      </c>
      <c r="AR116" s="256">
        <f>SUMIFS('F3 - Relevé du personnel'!$I$4:$I$281,'F3 - Relevé du personnel'!$D$4:$D$281,$AM116,'F3 - Relevé du personnel'!$C$4:$C$281,'F0 - Données générales'!$K$31,'F3 - Relevé du personnel'!$B$4:$B$281,"0-3 ans")</f>
        <v>0</v>
      </c>
      <c r="AS116" s="256">
        <f>SUMIFS('F3 - Relevé du personnel'!$M$4:$M$281,'F3 - Relevé du personnel'!$D$4:$D$281,$AM116,'F3 - Relevé du personnel'!$C$4:$C$281,'F0 - Données générales'!$K$31,'F3 - Relevé du personnel'!$B$4:$B$281,"0-3 ans")</f>
        <v>0</v>
      </c>
      <c r="AT116" s="196">
        <f t="shared" ref="AT116:AT121" si="80">(AR116+AS116)</f>
        <v>0</v>
      </c>
      <c r="AU116" s="256">
        <f>SUMIFS('F3 - Relevé du personnel'!$O$4:$O$281,'F3 - Relevé du personnel'!$D$4:$D$281,$AM116,'F3 - Relevé du personnel'!$C$4:$C$281,'F0 - Données générales'!$K$31,'F3 - Relevé du personnel'!$B$4:$B$281,"0-3 ans")</f>
        <v>0</v>
      </c>
      <c r="AV116" s="256">
        <f>SUMIFS('F3 - Relevé du personnel'!$P$4:$P$281,'F3 - Relevé du personnel'!$D$4:$D$281,$AM116,'F3 - Relevé du personnel'!$C$4:$C$281,'F0 - Données générales'!$K$31,'F3 - Relevé du personnel'!$B$4:$B$281,"0-3 ans")</f>
        <v>0</v>
      </c>
      <c r="AW116" s="256">
        <f>SUMIFS('F3 - Relevé du personnel'!$Q$4:$Q$281,'F3 - Relevé du personnel'!$D$4:$D$281,$AM116,'F3 - Relevé du personnel'!$C$4:$C$281,'F0 - Données générales'!$K$31,'F3 - Relevé du personnel'!$B$4:$B$281,"0-3 ans")</f>
        <v>0</v>
      </c>
      <c r="AX116" s="182">
        <f t="shared" ref="AX116:AX121" si="81">AR116+AS116-SUM(AU116:AW116)</f>
        <v>0</v>
      </c>
      <c r="AY116" s="197" t="str">
        <f t="shared" si="79"/>
        <v/>
      </c>
      <c r="AZ116" s="198" t="str">
        <f>IF(AP116=0,"",(SUMPRODUCT(($D$4:$D$253=AM116)*($C$4:$C$253='F0 - Données générales'!$K$31)*($E$4:$E$253)*($F$4:$F$253)*($B$4:$B$253="0-3 ans"))+SUMPRODUCT(($D$257:$D$281=AM116)*($C$257:$C$281='F0 - Données générales'!$K$31)*($B$257:$B$281="0-3 ans")*($E$257:$E$281)*($F$257:$F$281)))/(SUMIFS('F3 - Relevé du personnel'!$E$4:$E$281,'F3 - Relevé du personnel'!$D$4:$D$281,$AM116,'F3 - Relevé du personnel'!$C$4:$C$281,'F0 - Données générales'!$K$31,'F3 - Relevé du personnel'!$B$4:$B$281,"0-3 ans")))</f>
        <v/>
      </c>
      <c r="BB116" s="770"/>
      <c r="BC116" s="771"/>
      <c r="BD116" s="770"/>
      <c r="BE116" s="781"/>
      <c r="BF116" s="771"/>
      <c r="BG116" s="813"/>
      <c r="BH116" s="813"/>
      <c r="BI116" s="813"/>
      <c r="BJ116" s="813"/>
      <c r="BK116" s="813"/>
      <c r="BL116" s="813"/>
      <c r="BM116" s="813"/>
      <c r="BN116" s="813"/>
      <c r="BO116" s="813"/>
      <c r="BP116" s="813"/>
      <c r="BS116" s="63"/>
      <c r="BT116" s="63"/>
      <c r="BU116" s="63"/>
      <c r="BV116" s="14"/>
    </row>
    <row r="117" spans="1:74" ht="15" customHeight="1" x14ac:dyDescent="0.3">
      <c r="A117" s="106">
        <v>114</v>
      </c>
      <c r="B117" s="324">
        <f>'F0 - Données générales'!$C$4</f>
        <v>7</v>
      </c>
      <c r="C117" s="106" t="s">
        <v>95</v>
      </c>
      <c r="D117" s="106"/>
      <c r="E117" s="107"/>
      <c r="F117" s="108"/>
      <c r="G117" s="109"/>
      <c r="H117" s="110">
        <f t="shared" si="47"/>
        <v>0</v>
      </c>
      <c r="I117" s="177"/>
      <c r="J117" s="118" t="str">
        <f>IF(OR(D117="",F117=""),"",(((HLOOKUP(D117,'Carrières et points'!$A$20:$AD$60,F117+2,FALSE)*'Carrières et points'!$C$7*'Carrières et points'!$C$9)+(HLOOKUP(D117,'Carrières et points'!$A$20:$AD$60,F117+2,FALSE)*'Carrières et points'!$C$13*'Carrières et points'!$C$15))*(1+'F0 - Données générales'!$I$4)+((HLOOKUP(D117,'Carrières et points'!$A$20:$AD$60,F117+2,FALSE)*'Carrières et points'!$C$7*'Carrières et points'!$C$9)+(HLOOKUP(D117,'Carrières et points'!$A$20:$AD$60,F117+2,FALSE)*'Carrières et points'!$C$13*'Carrières et points'!$C$15))/12*(1+'F0 - Données générales'!$L$13))*E117)</f>
        <v/>
      </c>
      <c r="K117" s="118" t="str">
        <f t="shared" si="48"/>
        <v/>
      </c>
      <c r="L117" s="109"/>
      <c r="M117" s="177"/>
      <c r="N117" s="118" t="str">
        <f t="shared" si="49"/>
        <v/>
      </c>
      <c r="O117" s="177"/>
      <c r="P117" s="177"/>
      <c r="Q117" s="177"/>
      <c r="R117" s="255" t="str">
        <f t="shared" si="50"/>
        <v/>
      </c>
      <c r="S117" s="120"/>
      <c r="T117" s="742" t="s">
        <v>64</v>
      </c>
      <c r="U117" s="742"/>
      <c r="V117" s="26" t="s">
        <v>82</v>
      </c>
      <c r="W117" s="741" t="s">
        <v>83</v>
      </c>
      <c r="X117" s="741"/>
      <c r="Y117" s="181">
        <f>SUMIFS('F3 - Relevé du personnel'!$E$4:$E$281,'F3 - Relevé du personnel'!$D$4:$D$281,$V117,'F3 - Relevé du personnel'!$C$4:$C$281,'F0 - Données générales'!$K$31,'F3 - Relevé du personnel'!$B$4:$B$281,"8.3")</f>
        <v>0</v>
      </c>
      <c r="Z117" s="181">
        <f>SUMIFS('F3 - Relevé du personnel'!$H$4:$H$281,'F3 - Relevé du personnel'!$D$4:$D$281,$V117,'F3 - Relevé du personnel'!$C$4:$C$281,'F0 - Données générales'!$K$31,'F3 - Relevé du personnel'!$B$4:$B$281,"8.3")</f>
        <v>0</v>
      </c>
      <c r="AA117" s="256">
        <f>SUMIFS('F3 - Relevé du personnel'!$I$4:$I$281,'F3 - Relevé du personnel'!$D$4:$D$281,$V117,'F3 - Relevé du personnel'!$C$4:$C$281,'F0 - Données générales'!$K$31,'F3 - Relevé du personnel'!$B$4:$B$281,"8.3")</f>
        <v>0</v>
      </c>
      <c r="AB117" s="256">
        <f>SUMIFS('F3 - Relevé du personnel'!$M$4:$M$281,'F3 - Relevé du personnel'!$D$4:$D$281,$V117,'F3 - Relevé du personnel'!$C$4:$C$281,'F0 - Données générales'!$K$31,'F3 - Relevé du personnel'!$B$4:$B$281,"8.3")</f>
        <v>0</v>
      </c>
      <c r="AC117" s="196">
        <f t="shared" si="72"/>
        <v>0</v>
      </c>
      <c r="AD117" s="256">
        <f>SUMIFS('F3 - Relevé du personnel'!$O$4:$O$281,'F3 - Relevé du personnel'!$D$4:$D$281,$V117,'F3 - Relevé du personnel'!$C$4:$C$281,'F0 - Données générales'!$K$31,'F3 - Relevé du personnel'!$B$4:$B$281,"8.3")</f>
        <v>0</v>
      </c>
      <c r="AE117" s="256">
        <f>SUMIFS('F3 - Relevé du personnel'!$P$4:$P$281,'F3 - Relevé du personnel'!$D$4:$D$281,$V117,'F3 - Relevé du personnel'!$C$4:$C$281,'F0 - Données générales'!$K$31,'F3 - Relevé du personnel'!$B$4:$B$281,"8.3")</f>
        <v>0</v>
      </c>
      <c r="AF117" s="256">
        <f>SUMIFS('F3 - Relevé du personnel'!$Q$4:$Q$281,'F3 - Relevé du personnel'!$D$4:$D$281,$V117,'F3 - Relevé du personnel'!$C$4:$C$281,'F0 - Données générales'!$K$31,'F3 - Relevé du personnel'!$B$4:$B$281,"8.3")</f>
        <v>0</v>
      </c>
      <c r="AG117" s="182">
        <f t="shared" si="73"/>
        <v>0</v>
      </c>
      <c r="AH117" s="197" t="str">
        <f t="shared" si="74"/>
        <v/>
      </c>
      <c r="AI117" s="198" t="str">
        <f>IF(Y117=0,"",(SUMPRODUCT(($D$4:$D$253=V117)*($C$4:$C$253='F0 - Données générales'!$K$31)*($E$4:$E$253)*($F$4:$F$253)*($B$4:$B$253="8.3"))+SUMPRODUCT(($D$257:$D$281=V117)*($C$257:$C$281='F0 - Données générales'!$K$31)*($B$257:$B$281="8.3")*($E$257:$E$281)*($F$257:$F$281)))/(SUMIFS('F3 - Relevé du personnel'!$E$4:$E$281,'F3 - Relevé du personnel'!$D$4:$D$281,$V117,'F3 - Relevé du personnel'!$C$4:$C$281,'F0 - Données générales'!$K$31,'F3 - Relevé du personnel'!$B$4:$B$281,"8.3")))</f>
        <v/>
      </c>
      <c r="AK117" s="742" t="s">
        <v>64</v>
      </c>
      <c r="AL117" s="742"/>
      <c r="AM117" s="26" t="s">
        <v>82</v>
      </c>
      <c r="AN117" s="741" t="s">
        <v>83</v>
      </c>
      <c r="AO117" s="741"/>
      <c r="AP117" s="181">
        <f>SUMIFS('F3 - Relevé du personnel'!$E$4:$E$281,'F3 - Relevé du personnel'!$D$4:$D$281,$AM117,'F3 - Relevé du personnel'!$C$4:$C$281,'F0 - Données générales'!$K$31,'F3 - Relevé du personnel'!$B$4:$B$281,"0-3 ans")</f>
        <v>0</v>
      </c>
      <c r="AQ117" s="181">
        <f>SUMIFS('F3 - Relevé du personnel'!$H$4:$H$281,'F3 - Relevé du personnel'!$D$4:$D$281,$AM117,'F3 - Relevé du personnel'!$C$4:$C$281,'F0 - Données générales'!$K$31,'F3 - Relevé du personnel'!$B$4:$B$281,"0-3 ans")</f>
        <v>0</v>
      </c>
      <c r="AR117" s="256">
        <f>SUMIFS('F3 - Relevé du personnel'!$I$4:$I$281,'F3 - Relevé du personnel'!$D$4:$D$281,$AM117,'F3 - Relevé du personnel'!$C$4:$C$281,'F0 - Données générales'!$K$31,'F3 - Relevé du personnel'!$B$4:$B$281,"0-3 ans")</f>
        <v>0</v>
      </c>
      <c r="AS117" s="256">
        <f>SUMIFS('F3 - Relevé du personnel'!$M$4:$M$281,'F3 - Relevé du personnel'!$D$4:$D$281,$AM117,'F3 - Relevé du personnel'!$C$4:$C$281,'F0 - Données générales'!$K$31,'F3 - Relevé du personnel'!$B$4:$B$281,"0-3 ans")</f>
        <v>0</v>
      </c>
      <c r="AT117" s="196">
        <f t="shared" si="80"/>
        <v>0</v>
      </c>
      <c r="AU117" s="256">
        <f>SUMIFS('F3 - Relevé du personnel'!$O$4:$O$281,'F3 - Relevé du personnel'!$D$4:$D$281,$AM117,'F3 - Relevé du personnel'!$C$4:$C$281,'F0 - Données générales'!$K$31,'F3 - Relevé du personnel'!$B$4:$B$281,"0-3 ans")</f>
        <v>0</v>
      </c>
      <c r="AV117" s="256">
        <f>SUMIFS('F3 - Relevé du personnel'!$P$4:$P$281,'F3 - Relevé du personnel'!$D$4:$D$281,$AM117,'F3 - Relevé du personnel'!$C$4:$C$281,'F0 - Données générales'!$K$31,'F3 - Relevé du personnel'!$B$4:$B$281,"0-3 ans")</f>
        <v>0</v>
      </c>
      <c r="AW117" s="256">
        <f>SUMIFS('F3 - Relevé du personnel'!$Q$4:$Q$281,'F3 - Relevé du personnel'!$D$4:$D$281,$AM117,'F3 - Relevé du personnel'!$C$4:$C$281,'F0 - Données générales'!$K$31,'F3 - Relevé du personnel'!$B$4:$B$281,"0-3 ans")</f>
        <v>0</v>
      </c>
      <c r="AX117" s="182">
        <f t="shared" si="81"/>
        <v>0</v>
      </c>
      <c r="AY117" s="197" t="str">
        <f t="shared" si="79"/>
        <v/>
      </c>
      <c r="AZ117" s="198" t="str">
        <f>IF(AP117=0,"",(SUMPRODUCT(($D$4:$D$253=AM117)*($C$4:$C$253='F0 - Données générales'!$K$31)*($E$4:$E$253)*($F$4:$F$253)*($B$4:$B$253="0-3 ans"))+SUMPRODUCT(($D$257:$D$281=AM117)*($C$257:$C$281='F0 - Données générales'!$K$31)*($B$257:$B$281="0-3 ans")*($E$257:$E$281)*($F$257:$F$281)))/(SUMIFS('F3 - Relevé du personnel'!$E$4:$E$281,'F3 - Relevé du personnel'!$D$4:$D$281,$AM117,'F3 - Relevé du personnel'!$C$4:$C$281,'F0 - Données générales'!$K$31,'F3 - Relevé du personnel'!$B$4:$B$281,"0-3 ans")))</f>
        <v/>
      </c>
      <c r="BB117" s="770"/>
      <c r="BC117" s="771"/>
      <c r="BD117" s="770"/>
      <c r="BE117" s="781"/>
      <c r="BF117" s="771"/>
      <c r="BG117" s="813"/>
      <c r="BH117" s="813"/>
      <c r="BI117" s="813"/>
      <c r="BJ117" s="813"/>
      <c r="BK117" s="813"/>
      <c r="BL117" s="813"/>
      <c r="BM117" s="813"/>
      <c r="BN117" s="813"/>
      <c r="BO117" s="813"/>
      <c r="BP117" s="813"/>
      <c r="BS117" s="63"/>
      <c r="BT117" s="63"/>
      <c r="BU117" s="63"/>
    </row>
    <row r="118" spans="1:74" ht="15" customHeight="1" x14ac:dyDescent="0.3">
      <c r="A118" s="106">
        <v>115</v>
      </c>
      <c r="B118" s="324">
        <f>'F0 - Données générales'!$C$4</f>
        <v>7</v>
      </c>
      <c r="C118" s="106" t="s">
        <v>95</v>
      </c>
      <c r="D118" s="106"/>
      <c r="E118" s="107"/>
      <c r="F118" s="108"/>
      <c r="G118" s="109"/>
      <c r="H118" s="110">
        <f t="shared" si="47"/>
        <v>0</v>
      </c>
      <c r="I118" s="177"/>
      <c r="J118" s="118" t="str">
        <f>IF(OR(D118="",F118=""),"",(((HLOOKUP(D118,'Carrières et points'!$A$20:$AD$60,F118+2,FALSE)*'Carrières et points'!$C$7*'Carrières et points'!$C$9)+(HLOOKUP(D118,'Carrières et points'!$A$20:$AD$60,F118+2,FALSE)*'Carrières et points'!$C$13*'Carrières et points'!$C$15))*(1+'F0 - Données générales'!$I$4)+((HLOOKUP(D118,'Carrières et points'!$A$20:$AD$60,F118+2,FALSE)*'Carrières et points'!$C$7*'Carrières et points'!$C$9)+(HLOOKUP(D118,'Carrières et points'!$A$20:$AD$60,F118+2,FALSE)*'Carrières et points'!$C$13*'Carrières et points'!$C$15))/12*(1+'F0 - Données générales'!$L$13))*E118)</f>
        <v/>
      </c>
      <c r="K118" s="118" t="str">
        <f t="shared" si="48"/>
        <v/>
      </c>
      <c r="L118" s="109"/>
      <c r="M118" s="177"/>
      <c r="N118" s="118" t="str">
        <f t="shared" si="49"/>
        <v/>
      </c>
      <c r="O118" s="177"/>
      <c r="P118" s="177"/>
      <c r="Q118" s="177"/>
      <c r="R118" s="255" t="str">
        <f t="shared" si="50"/>
        <v/>
      </c>
      <c r="S118" s="120"/>
      <c r="T118" s="742" t="s">
        <v>65</v>
      </c>
      <c r="U118" s="742"/>
      <c r="V118" s="26" t="s">
        <v>84</v>
      </c>
      <c r="W118" s="741" t="s">
        <v>85</v>
      </c>
      <c r="X118" s="741"/>
      <c r="Y118" s="181">
        <f>SUMIFS('F3 - Relevé du personnel'!$E$4:$E$281,'F3 - Relevé du personnel'!$D$4:$D$281,$V118,'F3 - Relevé du personnel'!$C$4:$C$281,'F0 - Données générales'!$K$31,'F3 - Relevé du personnel'!$B$4:$B$281,"8.3")</f>
        <v>0</v>
      </c>
      <c r="Z118" s="181">
        <f>SUMIFS('F3 - Relevé du personnel'!$H$4:$H$281,'F3 - Relevé du personnel'!$D$4:$D$281,$V118,'F3 - Relevé du personnel'!$C$4:$C$281,'F0 - Données générales'!$K$31,'F3 - Relevé du personnel'!$B$4:$B$281,"8.3")</f>
        <v>0</v>
      </c>
      <c r="AA118" s="256">
        <f>SUMIFS('F3 - Relevé du personnel'!$I$4:$I$281,'F3 - Relevé du personnel'!$D$4:$D$281,$V118,'F3 - Relevé du personnel'!$C$4:$C$281,'F0 - Données générales'!$K$31,'F3 - Relevé du personnel'!$B$4:$B$281,"8.3")</f>
        <v>0</v>
      </c>
      <c r="AB118" s="256">
        <f>SUMIFS('F3 - Relevé du personnel'!$M$4:$M$281,'F3 - Relevé du personnel'!$D$4:$D$281,$V118,'F3 - Relevé du personnel'!$C$4:$C$281,'F0 - Données générales'!$K$31,'F3 - Relevé du personnel'!$B$4:$B$281,"8.3")</f>
        <v>0</v>
      </c>
      <c r="AC118" s="196">
        <f t="shared" si="72"/>
        <v>0</v>
      </c>
      <c r="AD118" s="256">
        <f>SUMIFS('F3 - Relevé du personnel'!$O$4:$O$281,'F3 - Relevé du personnel'!$D$4:$D$281,$V118,'F3 - Relevé du personnel'!$C$4:$C$281,'F0 - Données générales'!$K$31,'F3 - Relevé du personnel'!$B$4:$B$281,"8.3")</f>
        <v>0</v>
      </c>
      <c r="AE118" s="256">
        <f>SUMIFS('F3 - Relevé du personnel'!$P$4:$P$281,'F3 - Relevé du personnel'!$D$4:$D$281,$V118,'F3 - Relevé du personnel'!$C$4:$C$281,'F0 - Données générales'!$K$31,'F3 - Relevé du personnel'!$B$4:$B$281,"8.3")</f>
        <v>0</v>
      </c>
      <c r="AF118" s="256">
        <f>SUMIFS('F3 - Relevé du personnel'!$Q$4:$Q$281,'F3 - Relevé du personnel'!$D$4:$D$281,$V118,'F3 - Relevé du personnel'!$C$4:$C$281,'F0 - Données générales'!$K$31,'F3 - Relevé du personnel'!$B$4:$B$281,"8.3")</f>
        <v>0</v>
      </c>
      <c r="AG118" s="182">
        <f t="shared" si="73"/>
        <v>0</v>
      </c>
      <c r="AH118" s="197" t="str">
        <f t="shared" si="74"/>
        <v/>
      </c>
      <c r="AI118" s="198" t="str">
        <f>IF(Y118=0,"",(SUMPRODUCT(($D$4:$D$253=V118)*($C$4:$C$253='F0 - Données générales'!$K$31)*($E$4:$E$253)*($F$4:$F$253)*($B$4:$B$253="8.3"))+SUMPRODUCT(($D$257:$D$281=V118)*($C$257:$C$281='F0 - Données générales'!$K$31)*($B$257:$B$281="8.3")*($E$257:$E$281)*($F$257:$F$281)))/(SUMIFS('F3 - Relevé du personnel'!$E$4:$E$281,'F3 - Relevé du personnel'!$D$4:$D$281,$V118,'F3 - Relevé du personnel'!$C$4:$C$281,'F0 - Données générales'!$K$31,'F3 - Relevé du personnel'!$B$4:$B$281,"8.3")))</f>
        <v/>
      </c>
      <c r="AK118" s="742" t="s">
        <v>65</v>
      </c>
      <c r="AL118" s="742"/>
      <c r="AM118" s="26" t="s">
        <v>84</v>
      </c>
      <c r="AN118" s="741" t="s">
        <v>85</v>
      </c>
      <c r="AO118" s="741"/>
      <c r="AP118" s="181">
        <f>SUMIFS('F3 - Relevé du personnel'!$E$4:$E$281,'F3 - Relevé du personnel'!$D$4:$D$281,$AM118,'F3 - Relevé du personnel'!$C$4:$C$281,'F0 - Données générales'!$K$31,'F3 - Relevé du personnel'!$B$4:$B$281,"0-3 ans")</f>
        <v>0</v>
      </c>
      <c r="AQ118" s="181">
        <f>SUMIFS('F3 - Relevé du personnel'!$H$4:$H$281,'F3 - Relevé du personnel'!$D$4:$D$281,$AM118,'F3 - Relevé du personnel'!$C$4:$C$281,'F0 - Données générales'!$K$31,'F3 - Relevé du personnel'!$B$4:$B$281,"0-3 ans")</f>
        <v>0</v>
      </c>
      <c r="AR118" s="256">
        <f>SUMIFS('F3 - Relevé du personnel'!$I$4:$I$281,'F3 - Relevé du personnel'!$D$4:$D$281,$AM118,'F3 - Relevé du personnel'!$C$4:$C$281,'F0 - Données générales'!$K$31,'F3 - Relevé du personnel'!$B$4:$B$281,"0-3 ans")</f>
        <v>0</v>
      </c>
      <c r="AS118" s="256">
        <f>SUMIFS('F3 - Relevé du personnel'!$M$4:$M$281,'F3 - Relevé du personnel'!$D$4:$D$281,$AM118,'F3 - Relevé du personnel'!$C$4:$C$281,'F0 - Données générales'!$K$31,'F3 - Relevé du personnel'!$B$4:$B$281,"0-3 ans")</f>
        <v>0</v>
      </c>
      <c r="AT118" s="196">
        <f t="shared" si="80"/>
        <v>0</v>
      </c>
      <c r="AU118" s="256">
        <f>SUMIFS('F3 - Relevé du personnel'!$O$4:$O$281,'F3 - Relevé du personnel'!$D$4:$D$281,$AM118,'F3 - Relevé du personnel'!$C$4:$C$281,'F0 - Données générales'!$K$31,'F3 - Relevé du personnel'!$B$4:$B$281,"0-3 ans")</f>
        <v>0</v>
      </c>
      <c r="AV118" s="256">
        <f>SUMIFS('F3 - Relevé du personnel'!$P$4:$P$281,'F3 - Relevé du personnel'!$D$4:$D$281,$AM118,'F3 - Relevé du personnel'!$C$4:$C$281,'F0 - Données générales'!$K$31,'F3 - Relevé du personnel'!$B$4:$B$281,"0-3 ans")</f>
        <v>0</v>
      </c>
      <c r="AW118" s="256">
        <f>SUMIFS('F3 - Relevé du personnel'!$Q$4:$Q$281,'F3 - Relevé du personnel'!$D$4:$D$281,$AM118,'F3 - Relevé du personnel'!$C$4:$C$281,'F0 - Données générales'!$K$31,'F3 - Relevé du personnel'!$B$4:$B$281,"0-3 ans")</f>
        <v>0</v>
      </c>
      <c r="AX118" s="182">
        <f t="shared" si="81"/>
        <v>0</v>
      </c>
      <c r="AY118" s="197" t="str">
        <f t="shared" si="79"/>
        <v/>
      </c>
      <c r="AZ118" s="198" t="str">
        <f>IF(AP118=0,"",(SUMPRODUCT(($D$4:$D$253=AM118)*($C$4:$C$253='F0 - Données générales'!$K$31)*($E$4:$E$253)*($F$4:$F$253)*($B$4:$B$253="0-3 ans"))+SUMPRODUCT(($D$257:$D$281=AM118)*($C$257:$C$281='F0 - Données générales'!$K$31)*($B$257:$B$281="0-3 ans")*($E$257:$E$281)*($F$257:$F$281)))/(SUMIFS('F3 - Relevé du personnel'!$E$4:$E$281,'F3 - Relevé du personnel'!$D$4:$D$281,$AM118,'F3 - Relevé du personnel'!$C$4:$C$281,'F0 - Données générales'!$K$31,'F3 - Relevé du personnel'!$B$4:$B$281,"0-3 ans")))</f>
        <v/>
      </c>
      <c r="BB118" s="770"/>
      <c r="BC118" s="771"/>
      <c r="BD118" s="770"/>
      <c r="BE118" s="781"/>
      <c r="BF118" s="771"/>
      <c r="BG118" s="813"/>
      <c r="BH118" s="813"/>
      <c r="BI118" s="813"/>
      <c r="BJ118" s="813"/>
      <c r="BK118" s="813"/>
      <c r="BL118" s="813"/>
      <c r="BM118" s="813"/>
      <c r="BN118" s="813"/>
      <c r="BO118" s="813"/>
      <c r="BP118" s="813"/>
      <c r="BS118" s="63"/>
      <c r="BT118" s="63"/>
      <c r="BV118" s="14"/>
    </row>
    <row r="119" spans="1:74" ht="15" customHeight="1" x14ac:dyDescent="0.3">
      <c r="A119" s="106">
        <v>116</v>
      </c>
      <c r="B119" s="324">
        <f>'F0 - Données générales'!$C$4</f>
        <v>7</v>
      </c>
      <c r="C119" s="106" t="s">
        <v>95</v>
      </c>
      <c r="D119" s="106"/>
      <c r="E119" s="107"/>
      <c r="F119" s="108"/>
      <c r="G119" s="109"/>
      <c r="H119" s="110">
        <f t="shared" si="47"/>
        <v>0</v>
      </c>
      <c r="I119" s="177"/>
      <c r="J119" s="118" t="str">
        <f>IF(OR(D119="",F119=""),"",(((HLOOKUP(D119,'Carrières et points'!$A$20:$AD$60,F119+2,FALSE)*'Carrières et points'!$C$7*'Carrières et points'!$C$9)+(HLOOKUP(D119,'Carrières et points'!$A$20:$AD$60,F119+2,FALSE)*'Carrières et points'!$C$13*'Carrières et points'!$C$15))*(1+'F0 - Données générales'!$I$4)+((HLOOKUP(D119,'Carrières et points'!$A$20:$AD$60,F119+2,FALSE)*'Carrières et points'!$C$7*'Carrières et points'!$C$9)+(HLOOKUP(D119,'Carrières et points'!$A$20:$AD$60,F119+2,FALSE)*'Carrières et points'!$C$13*'Carrières et points'!$C$15))/12*(1+'F0 - Données générales'!$L$13))*E119)</f>
        <v/>
      </c>
      <c r="K119" s="118" t="str">
        <f t="shared" si="48"/>
        <v/>
      </c>
      <c r="L119" s="109"/>
      <c r="M119" s="177"/>
      <c r="N119" s="118" t="str">
        <f t="shared" si="49"/>
        <v/>
      </c>
      <c r="O119" s="177"/>
      <c r="P119" s="177"/>
      <c r="Q119" s="177"/>
      <c r="R119" s="255" t="str">
        <f t="shared" si="50"/>
        <v/>
      </c>
      <c r="S119" s="120"/>
      <c r="T119" s="742" t="s">
        <v>79</v>
      </c>
      <c r="U119" s="742"/>
      <c r="V119" s="26" t="s">
        <v>86</v>
      </c>
      <c r="W119" s="741" t="s">
        <v>87</v>
      </c>
      <c r="X119" s="741"/>
      <c r="Y119" s="181">
        <f>SUMIFS('F3 - Relevé du personnel'!$E$4:$E$281,'F3 - Relevé du personnel'!$D$4:$D$281,$V119,'F3 - Relevé du personnel'!$C$4:$C$281,'F0 - Données générales'!$K$31,'F3 - Relevé du personnel'!$B$4:$B$281,"8.3")</f>
        <v>0</v>
      </c>
      <c r="Z119" s="181">
        <f>SUMIFS('F3 - Relevé du personnel'!$H$4:$H$281,'F3 - Relevé du personnel'!$D$4:$D$281,$V119,'F3 - Relevé du personnel'!$C$4:$C$281,'F0 - Données générales'!$K$31,'F3 - Relevé du personnel'!$B$4:$B$281,"8.3")</f>
        <v>0</v>
      </c>
      <c r="AA119" s="256">
        <f>SUMIFS('F3 - Relevé du personnel'!$I$4:$I$281,'F3 - Relevé du personnel'!$D$4:$D$281,$V119,'F3 - Relevé du personnel'!$C$4:$C$281,'F0 - Données générales'!$K$31,'F3 - Relevé du personnel'!$B$4:$B$281,"8.3")</f>
        <v>0</v>
      </c>
      <c r="AB119" s="256">
        <f>SUMIFS('F3 - Relevé du personnel'!$M$4:$M$281,'F3 - Relevé du personnel'!$D$4:$D$281,$V119,'F3 - Relevé du personnel'!$C$4:$C$281,'F0 - Données générales'!$K$31,'F3 - Relevé du personnel'!$B$4:$B$281,"8.3")</f>
        <v>0</v>
      </c>
      <c r="AC119" s="196">
        <f t="shared" si="72"/>
        <v>0</v>
      </c>
      <c r="AD119" s="256">
        <f>SUMIFS('F3 - Relevé du personnel'!$O$4:$O$281,'F3 - Relevé du personnel'!$D$4:$D$281,$V119,'F3 - Relevé du personnel'!$C$4:$C$281,'F0 - Données générales'!$K$31,'F3 - Relevé du personnel'!$B$4:$B$281,"8.3")</f>
        <v>0</v>
      </c>
      <c r="AE119" s="256">
        <f>SUMIFS('F3 - Relevé du personnel'!$P$4:$P$281,'F3 - Relevé du personnel'!$D$4:$D$281,$V119,'F3 - Relevé du personnel'!$C$4:$C$281,'F0 - Données générales'!$K$31,'F3 - Relevé du personnel'!$B$4:$B$281,"8.3")</f>
        <v>0</v>
      </c>
      <c r="AF119" s="256">
        <f>SUMIFS('F3 - Relevé du personnel'!$Q$4:$Q$281,'F3 - Relevé du personnel'!$D$4:$D$281,$V119,'F3 - Relevé du personnel'!$C$4:$C$281,'F0 - Données générales'!$K$31,'F3 - Relevé du personnel'!$B$4:$B$281,"8.3")</f>
        <v>0</v>
      </c>
      <c r="AG119" s="182">
        <f t="shared" si="73"/>
        <v>0</v>
      </c>
      <c r="AH119" s="197" t="str">
        <f t="shared" si="74"/>
        <v/>
      </c>
      <c r="AI119" s="198" t="str">
        <f>IF(Y119=0,"",(SUMPRODUCT(($D$4:$D$253=V119)*($C$4:$C$253='F0 - Données générales'!$K$31)*($E$4:$E$253)*($F$4:$F$253)*($B$4:$B$253="8.3"))+SUMPRODUCT(($D$257:$D$281=V119)*($C$257:$C$281='F0 - Données générales'!$K$31)*($B$257:$B$281="8.3")*($E$257:$E$281)*($F$257:$F$281)))/(SUMIFS('F3 - Relevé du personnel'!$E$4:$E$281,'F3 - Relevé du personnel'!$D$4:$D$281,$V119,'F3 - Relevé du personnel'!$C$4:$C$281,'F0 - Données générales'!$K$31,'F3 - Relevé du personnel'!$B$4:$B$281,"8.3")))</f>
        <v/>
      </c>
      <c r="AK119" s="742" t="s">
        <v>79</v>
      </c>
      <c r="AL119" s="742"/>
      <c r="AM119" s="26" t="s">
        <v>86</v>
      </c>
      <c r="AN119" s="741" t="s">
        <v>87</v>
      </c>
      <c r="AO119" s="741"/>
      <c r="AP119" s="181">
        <f>SUMIFS('F3 - Relevé du personnel'!$E$4:$E$281,'F3 - Relevé du personnel'!$D$4:$D$281,$AM119,'F3 - Relevé du personnel'!$C$4:$C$281,'F0 - Données générales'!$K$31,'F3 - Relevé du personnel'!$B$4:$B$281,"0-3 ans")</f>
        <v>0</v>
      </c>
      <c r="AQ119" s="181">
        <f>SUMIFS('F3 - Relevé du personnel'!$H$4:$H$281,'F3 - Relevé du personnel'!$D$4:$D$281,$AM119,'F3 - Relevé du personnel'!$C$4:$C$281,'F0 - Données générales'!$K$31,'F3 - Relevé du personnel'!$B$4:$B$281,"0-3 ans")</f>
        <v>0</v>
      </c>
      <c r="AR119" s="256">
        <f>SUMIFS('F3 - Relevé du personnel'!$I$4:$I$281,'F3 - Relevé du personnel'!$D$4:$D$281,$AM119,'F3 - Relevé du personnel'!$C$4:$C$281,'F0 - Données générales'!$K$31,'F3 - Relevé du personnel'!$B$4:$B$281,"0-3 ans")</f>
        <v>0</v>
      </c>
      <c r="AS119" s="256">
        <f>SUMIFS('F3 - Relevé du personnel'!$M$4:$M$281,'F3 - Relevé du personnel'!$D$4:$D$281,$AM119,'F3 - Relevé du personnel'!$C$4:$C$281,'F0 - Données générales'!$K$31,'F3 - Relevé du personnel'!$B$4:$B$281,"0-3 ans")</f>
        <v>0</v>
      </c>
      <c r="AT119" s="196">
        <f t="shared" si="80"/>
        <v>0</v>
      </c>
      <c r="AU119" s="256">
        <f>SUMIFS('F3 - Relevé du personnel'!$O$4:$O$281,'F3 - Relevé du personnel'!$D$4:$D$281,$AM119,'F3 - Relevé du personnel'!$C$4:$C$281,'F0 - Données générales'!$K$31,'F3 - Relevé du personnel'!$B$4:$B$281,"0-3 ans")</f>
        <v>0</v>
      </c>
      <c r="AV119" s="256">
        <f>SUMIFS('F3 - Relevé du personnel'!$P$4:$P$281,'F3 - Relevé du personnel'!$D$4:$D$281,$AM119,'F3 - Relevé du personnel'!$C$4:$C$281,'F0 - Données générales'!$K$31,'F3 - Relevé du personnel'!$B$4:$B$281,"0-3 ans")</f>
        <v>0</v>
      </c>
      <c r="AW119" s="256">
        <f>SUMIFS('F3 - Relevé du personnel'!$Q$4:$Q$281,'F3 - Relevé du personnel'!$D$4:$D$281,$AM119,'F3 - Relevé du personnel'!$C$4:$C$281,'F0 - Données générales'!$K$31,'F3 - Relevé du personnel'!$B$4:$B$281,"0-3 ans")</f>
        <v>0</v>
      </c>
      <c r="AX119" s="182">
        <f t="shared" si="81"/>
        <v>0</v>
      </c>
      <c r="AY119" s="197" t="str">
        <f t="shared" si="79"/>
        <v/>
      </c>
      <c r="AZ119" s="198" t="str">
        <f>IF(AP119=0,"",(SUMPRODUCT(($D$4:$D$253=AM119)*($C$4:$C$253='F0 - Données générales'!$K$31)*($E$4:$E$253)*($F$4:$F$253)*($B$4:$B$253="0-3 ans"))+SUMPRODUCT(($D$257:$D$281=AM119)*($C$257:$C$281='F0 - Données générales'!$K$31)*($B$257:$B$281="0-3 ans")*($E$257:$E$281)*($F$257:$F$281)))/(SUMIFS('F3 - Relevé du personnel'!$E$4:$E$281,'F3 - Relevé du personnel'!$D$4:$D$281,$AM119,'F3 - Relevé du personnel'!$C$4:$C$281,'F0 - Données générales'!$K$31,'F3 - Relevé du personnel'!$B$4:$B$281,"0-3 ans")))</f>
        <v/>
      </c>
      <c r="BB119" s="770"/>
      <c r="BC119" s="771"/>
      <c r="BD119" s="770"/>
      <c r="BE119" s="781"/>
      <c r="BF119" s="771"/>
      <c r="BG119" s="813"/>
      <c r="BH119" s="813"/>
      <c r="BI119" s="813"/>
      <c r="BJ119" s="813"/>
      <c r="BK119" s="813"/>
      <c r="BL119" s="813"/>
      <c r="BM119" s="813"/>
      <c r="BN119" s="813"/>
      <c r="BO119" s="813"/>
      <c r="BP119" s="813"/>
      <c r="BU119" s="63"/>
      <c r="BV119" s="14"/>
    </row>
    <row r="120" spans="1:74" ht="15" customHeight="1" x14ac:dyDescent="0.3">
      <c r="A120" s="106">
        <v>117</v>
      </c>
      <c r="B120" s="324">
        <f>'F0 - Données générales'!$C$4</f>
        <v>7</v>
      </c>
      <c r="C120" s="106" t="s">
        <v>95</v>
      </c>
      <c r="D120" s="106"/>
      <c r="E120" s="107"/>
      <c r="F120" s="108"/>
      <c r="G120" s="109"/>
      <c r="H120" s="110">
        <f t="shared" si="47"/>
        <v>0</v>
      </c>
      <c r="I120" s="177"/>
      <c r="J120" s="118" t="str">
        <f>IF(OR(D120="",F120=""),"",(((HLOOKUP(D120,'Carrières et points'!$A$20:$AD$60,F120+2,FALSE)*'Carrières et points'!$C$7*'Carrières et points'!$C$9)+(HLOOKUP(D120,'Carrières et points'!$A$20:$AD$60,F120+2,FALSE)*'Carrières et points'!$C$13*'Carrières et points'!$C$15))*(1+'F0 - Données générales'!$I$4)+((HLOOKUP(D120,'Carrières et points'!$A$20:$AD$60,F120+2,FALSE)*'Carrières et points'!$C$7*'Carrières et points'!$C$9)+(HLOOKUP(D120,'Carrières et points'!$A$20:$AD$60,F120+2,FALSE)*'Carrières et points'!$C$13*'Carrières et points'!$C$15))/12*(1+'F0 - Données générales'!$L$13))*E120)</f>
        <v/>
      </c>
      <c r="K120" s="118" t="str">
        <f t="shared" si="48"/>
        <v/>
      </c>
      <c r="L120" s="109"/>
      <c r="M120" s="177"/>
      <c r="N120" s="118" t="str">
        <f t="shared" si="49"/>
        <v/>
      </c>
      <c r="O120" s="177"/>
      <c r="P120" s="177"/>
      <c r="Q120" s="177"/>
      <c r="R120" s="255" t="str">
        <f t="shared" si="50"/>
        <v/>
      </c>
      <c r="S120" s="120"/>
      <c r="T120" s="742" t="s">
        <v>79</v>
      </c>
      <c r="U120" s="742"/>
      <c r="V120" s="26" t="s">
        <v>88</v>
      </c>
      <c r="W120" s="741" t="s">
        <v>89</v>
      </c>
      <c r="X120" s="741"/>
      <c r="Y120" s="181">
        <f>SUMIFS('F3 - Relevé du personnel'!$E$4:$E$281,'F3 - Relevé du personnel'!$D$4:$D$281,$V120,'F3 - Relevé du personnel'!$C$4:$C$281,'F0 - Données générales'!$K$31,'F3 - Relevé du personnel'!$B$4:$B$281,"8.3")</f>
        <v>0</v>
      </c>
      <c r="Z120" s="181">
        <f>SUMIFS('F3 - Relevé du personnel'!$H$4:$H$281,'F3 - Relevé du personnel'!$D$4:$D$281,$V120,'F3 - Relevé du personnel'!$C$4:$C$281,'F0 - Données générales'!$K$31,'F3 - Relevé du personnel'!$B$4:$B$281,"8.3")</f>
        <v>0</v>
      </c>
      <c r="AA120" s="256">
        <f>SUMIFS('F3 - Relevé du personnel'!$I$4:$I$281,'F3 - Relevé du personnel'!$D$4:$D$281,$V120,'F3 - Relevé du personnel'!$C$4:$C$281,'F0 - Données générales'!$K$31,'F3 - Relevé du personnel'!$B$4:$B$281,"8.3")</f>
        <v>0</v>
      </c>
      <c r="AB120" s="256">
        <f>SUMIFS('F3 - Relevé du personnel'!$M$4:$M$281,'F3 - Relevé du personnel'!$D$4:$D$281,$V120,'F3 - Relevé du personnel'!$C$4:$C$281,'F0 - Données générales'!$K$31,'F3 - Relevé du personnel'!$B$4:$B$281,"8.3")</f>
        <v>0</v>
      </c>
      <c r="AC120" s="196">
        <f t="shared" si="72"/>
        <v>0</v>
      </c>
      <c r="AD120" s="256">
        <f>SUMIFS('F3 - Relevé du personnel'!$O$4:$O$281,'F3 - Relevé du personnel'!$D$4:$D$281,$V120,'F3 - Relevé du personnel'!$C$4:$C$281,'F0 - Données générales'!$K$31,'F3 - Relevé du personnel'!$B$4:$B$281,"8.3")</f>
        <v>0</v>
      </c>
      <c r="AE120" s="256">
        <f>SUMIFS('F3 - Relevé du personnel'!$P$4:$P$281,'F3 - Relevé du personnel'!$D$4:$D$281,$V120,'F3 - Relevé du personnel'!$C$4:$C$281,'F0 - Données générales'!$K$31,'F3 - Relevé du personnel'!$B$4:$B$281,"8.3")</f>
        <v>0</v>
      </c>
      <c r="AF120" s="256">
        <f>SUMIFS('F3 - Relevé du personnel'!$Q$4:$Q$281,'F3 - Relevé du personnel'!$D$4:$D$281,$V120,'F3 - Relevé du personnel'!$C$4:$C$281,'F0 - Données générales'!$K$31,'F3 - Relevé du personnel'!$B$4:$B$281,"8.3")</f>
        <v>0</v>
      </c>
      <c r="AG120" s="182">
        <f t="shared" si="73"/>
        <v>0</v>
      </c>
      <c r="AH120" s="197" t="str">
        <f t="shared" si="74"/>
        <v/>
      </c>
      <c r="AI120" s="198" t="str">
        <f>IF(Y120=0,"",(SUMPRODUCT(($D$4:$D$253=V120)*($C$4:$C$253='F0 - Données générales'!$K$31)*($E$4:$E$253)*($F$4:$F$253)*($B$4:$B$253="8.3"))+SUMPRODUCT(($D$257:$D$281=V120)*($C$257:$C$281='F0 - Données générales'!$K$31)*($B$257:$B$281="8.3")*($E$257:$E$281)*($F$257:$F$281)))/(SUMIFS('F3 - Relevé du personnel'!$E$4:$E$281,'F3 - Relevé du personnel'!$D$4:$D$281,$V120,'F3 - Relevé du personnel'!$C$4:$C$281,'F0 - Données générales'!$K$31,'F3 - Relevé du personnel'!$B$4:$B$281,"8.3")))</f>
        <v/>
      </c>
      <c r="AK120" s="742" t="s">
        <v>79</v>
      </c>
      <c r="AL120" s="742"/>
      <c r="AM120" s="26" t="s">
        <v>88</v>
      </c>
      <c r="AN120" s="741" t="s">
        <v>89</v>
      </c>
      <c r="AO120" s="741"/>
      <c r="AP120" s="181">
        <f>SUMIFS('F3 - Relevé du personnel'!$E$4:$E$281,'F3 - Relevé du personnel'!$D$4:$D$281,$AM120,'F3 - Relevé du personnel'!$C$4:$C$281,'F0 - Données générales'!$K$31,'F3 - Relevé du personnel'!$B$4:$B$281,"0-3 ans")</f>
        <v>0</v>
      </c>
      <c r="AQ120" s="181">
        <f>SUMIFS('F3 - Relevé du personnel'!$H$4:$H$281,'F3 - Relevé du personnel'!$D$4:$D$281,$AM120,'F3 - Relevé du personnel'!$C$4:$C$281,'F0 - Données générales'!$K$31,'F3 - Relevé du personnel'!$B$4:$B$281,"0-3 ans")</f>
        <v>0</v>
      </c>
      <c r="AR120" s="256">
        <f>SUMIFS('F3 - Relevé du personnel'!$I$4:$I$281,'F3 - Relevé du personnel'!$D$4:$D$281,$AM120,'F3 - Relevé du personnel'!$C$4:$C$281,'F0 - Données générales'!$K$31,'F3 - Relevé du personnel'!$B$4:$B$281,"0-3 ans")</f>
        <v>0</v>
      </c>
      <c r="AS120" s="256">
        <f>SUMIFS('F3 - Relevé du personnel'!$M$4:$M$281,'F3 - Relevé du personnel'!$D$4:$D$281,$AM120,'F3 - Relevé du personnel'!$C$4:$C$281,'F0 - Données générales'!$K$31,'F3 - Relevé du personnel'!$B$4:$B$281,"0-3 ans")</f>
        <v>0</v>
      </c>
      <c r="AT120" s="196">
        <f t="shared" si="80"/>
        <v>0</v>
      </c>
      <c r="AU120" s="256">
        <f>SUMIFS('F3 - Relevé du personnel'!$O$4:$O$281,'F3 - Relevé du personnel'!$D$4:$D$281,$AM120,'F3 - Relevé du personnel'!$C$4:$C$281,'F0 - Données générales'!$K$31,'F3 - Relevé du personnel'!$B$4:$B$281,"0-3 ans")</f>
        <v>0</v>
      </c>
      <c r="AV120" s="256">
        <f>SUMIFS('F3 - Relevé du personnel'!$P$4:$P$281,'F3 - Relevé du personnel'!$D$4:$D$281,$AM120,'F3 - Relevé du personnel'!$C$4:$C$281,'F0 - Données générales'!$K$31,'F3 - Relevé du personnel'!$B$4:$B$281,"0-3 ans")</f>
        <v>0</v>
      </c>
      <c r="AW120" s="256">
        <f>SUMIFS('F3 - Relevé du personnel'!$Q$4:$Q$281,'F3 - Relevé du personnel'!$D$4:$D$281,$AM120,'F3 - Relevé du personnel'!$C$4:$C$281,'F0 - Données générales'!$K$31,'F3 - Relevé du personnel'!$B$4:$B$281,"0-3 ans")</f>
        <v>0</v>
      </c>
      <c r="AX120" s="182">
        <f t="shared" si="81"/>
        <v>0</v>
      </c>
      <c r="AY120" s="197" t="str">
        <f t="shared" si="79"/>
        <v/>
      </c>
      <c r="AZ120" s="198" t="str">
        <f>IF(AP120=0,"",(SUMPRODUCT(($D$4:$D$253=AM120)*($C$4:$C$253='F0 - Données générales'!$K$31)*($E$4:$E$253)*($F$4:$F$253)*($B$4:$B$253="0-3 ans"))+SUMPRODUCT(($D$257:$D$281=AM120)*($C$257:$C$281='F0 - Données générales'!$K$31)*($B$257:$B$281="0-3 ans")*($E$257:$E$281)*($F$257:$F$281)))/(SUMIFS('F3 - Relevé du personnel'!$E$4:$E$281,'F3 - Relevé du personnel'!$D$4:$D$281,$AM120,'F3 - Relevé du personnel'!$C$4:$C$281,'F0 - Données générales'!$K$31,'F3 - Relevé du personnel'!$B$4:$B$281,"0-3 ans")))</f>
        <v/>
      </c>
      <c r="BB120" s="772"/>
      <c r="BC120" s="773"/>
      <c r="BD120" s="772"/>
      <c r="BE120" s="782"/>
      <c r="BF120" s="773"/>
      <c r="BG120" s="814"/>
      <c r="BH120" s="814"/>
      <c r="BI120" s="814"/>
      <c r="BJ120" s="814"/>
      <c r="BK120" s="814"/>
      <c r="BL120" s="814"/>
      <c r="BM120" s="814"/>
      <c r="BN120" s="814"/>
      <c r="BO120" s="814"/>
      <c r="BP120" s="814"/>
      <c r="BS120" s="63"/>
      <c r="BT120" s="63"/>
      <c r="BU120" s="63"/>
      <c r="BV120" s="14"/>
    </row>
    <row r="121" spans="1:74" ht="15" customHeight="1" x14ac:dyDescent="0.3">
      <c r="A121" s="106">
        <v>118</v>
      </c>
      <c r="B121" s="324">
        <f>'F0 - Données générales'!$C$4</f>
        <v>7</v>
      </c>
      <c r="C121" s="106" t="s">
        <v>95</v>
      </c>
      <c r="D121" s="106"/>
      <c r="E121" s="107"/>
      <c r="F121" s="108"/>
      <c r="G121" s="109"/>
      <c r="H121" s="110">
        <f t="shared" si="47"/>
        <v>0</v>
      </c>
      <c r="I121" s="177"/>
      <c r="J121" s="118" t="str">
        <f>IF(OR(D121="",F121=""),"",(((HLOOKUP(D121,'Carrières et points'!$A$20:$AD$60,F121+2,FALSE)*'Carrières et points'!$C$7*'Carrières et points'!$C$9)+(HLOOKUP(D121,'Carrières et points'!$A$20:$AD$60,F121+2,FALSE)*'Carrières et points'!$C$13*'Carrières et points'!$C$15))*(1+'F0 - Données générales'!$I$4)+((HLOOKUP(D121,'Carrières et points'!$A$20:$AD$60,F121+2,FALSE)*'Carrières et points'!$C$7*'Carrières et points'!$C$9)+(HLOOKUP(D121,'Carrières et points'!$A$20:$AD$60,F121+2,FALSE)*'Carrières et points'!$C$13*'Carrières et points'!$C$15))/12*(1+'F0 - Données générales'!$L$13))*E121)</f>
        <v/>
      </c>
      <c r="K121" s="118" t="str">
        <f t="shared" si="48"/>
        <v/>
      </c>
      <c r="L121" s="109"/>
      <c r="M121" s="177"/>
      <c r="N121" s="118" t="str">
        <f t="shared" si="49"/>
        <v/>
      </c>
      <c r="O121" s="177"/>
      <c r="P121" s="177"/>
      <c r="Q121" s="177"/>
      <c r="R121" s="255" t="str">
        <f t="shared" si="50"/>
        <v/>
      </c>
      <c r="S121" s="120"/>
      <c r="T121" s="742" t="s">
        <v>79</v>
      </c>
      <c r="U121" s="742"/>
      <c r="V121" s="26" t="s">
        <v>90</v>
      </c>
      <c r="W121" s="741" t="s">
        <v>91</v>
      </c>
      <c r="X121" s="741"/>
      <c r="Y121" s="181">
        <f>SUMIFS('F3 - Relevé du personnel'!$E$4:$E$281,'F3 - Relevé du personnel'!$D$4:$D$281,$V121,'F3 - Relevé du personnel'!$C$4:$C$281,'F0 - Données générales'!$K$31,'F3 - Relevé du personnel'!$B$4:$B$281,"8.3")</f>
        <v>0</v>
      </c>
      <c r="Z121" s="181">
        <f>SUMIFS('F3 - Relevé du personnel'!$H$4:$H$281,'F3 - Relevé du personnel'!$D$4:$D$281,$V121,'F3 - Relevé du personnel'!$C$4:$C$281,'F0 - Données générales'!$K$31,'F3 - Relevé du personnel'!$B$4:$B$281,"8.3")</f>
        <v>0</v>
      </c>
      <c r="AA121" s="256">
        <f>SUMIFS('F3 - Relevé du personnel'!$I$4:$I$281,'F3 - Relevé du personnel'!$D$4:$D$281,$V121,'F3 - Relevé du personnel'!$C$4:$C$281,'F0 - Données générales'!$K$31,'F3 - Relevé du personnel'!$B$4:$B$281,"8.3")</f>
        <v>0</v>
      </c>
      <c r="AB121" s="256">
        <f>SUMIFS('F3 - Relevé du personnel'!$M$4:$M$281,'F3 - Relevé du personnel'!$D$4:$D$281,$V121,'F3 - Relevé du personnel'!$C$4:$C$281,'F0 - Données générales'!$K$31,'F3 - Relevé du personnel'!$B$4:$B$281,"8.3")</f>
        <v>0</v>
      </c>
      <c r="AC121" s="196">
        <f t="shared" si="72"/>
        <v>0</v>
      </c>
      <c r="AD121" s="256">
        <f>SUMIFS('F3 - Relevé du personnel'!$O$4:$O$281,'F3 - Relevé du personnel'!$D$4:$D$281,$V121,'F3 - Relevé du personnel'!$C$4:$C$281,'F0 - Données générales'!$K$31,'F3 - Relevé du personnel'!$B$4:$B$281,"8.3")</f>
        <v>0</v>
      </c>
      <c r="AE121" s="256">
        <f>SUMIFS('F3 - Relevé du personnel'!$P$4:$P$281,'F3 - Relevé du personnel'!$D$4:$D$281,$V121,'F3 - Relevé du personnel'!$C$4:$C$281,'F0 - Données générales'!$K$31,'F3 - Relevé du personnel'!$B$4:$B$281,"8.3")</f>
        <v>0</v>
      </c>
      <c r="AF121" s="256">
        <f>SUMIFS('F3 - Relevé du personnel'!$Q$4:$Q$281,'F3 - Relevé du personnel'!$D$4:$D$281,$V121,'F3 - Relevé du personnel'!$C$4:$C$281,'F0 - Données générales'!$K$31,'F3 - Relevé du personnel'!$B$4:$B$281,"8.3")</f>
        <v>0</v>
      </c>
      <c r="AG121" s="182">
        <f t="shared" si="73"/>
        <v>0</v>
      </c>
      <c r="AH121" s="197" t="str">
        <f t="shared" si="74"/>
        <v/>
      </c>
      <c r="AI121" s="198" t="str">
        <f>IF(Y121=0,"",(SUMPRODUCT(($D$4:$D$253=V121)*($C$4:$C$253='F0 - Données générales'!$K$31)*($E$4:$E$253)*($F$4:$F$253)*($B$4:$B$253="8.3"))+SUMPRODUCT(($D$257:$D$281=V121)*($C$257:$C$281='F0 - Données générales'!$K$31)*($B$257:$B$281="8.3")*($E$257:$E$281)*($F$257:$F$281)))/(SUMIFS('F3 - Relevé du personnel'!$E$4:$E$281,'F3 - Relevé du personnel'!$D$4:$D$281,$V121,'F3 - Relevé du personnel'!$C$4:$C$281,'F0 - Données générales'!$K$31,'F3 - Relevé du personnel'!$B$4:$B$281,"8.3")))</f>
        <v/>
      </c>
      <c r="AK121" s="742" t="s">
        <v>79</v>
      </c>
      <c r="AL121" s="742"/>
      <c r="AM121" s="26" t="s">
        <v>90</v>
      </c>
      <c r="AN121" s="741" t="s">
        <v>91</v>
      </c>
      <c r="AO121" s="741"/>
      <c r="AP121" s="181">
        <f>SUMIFS('F3 - Relevé du personnel'!$E$4:$E$281,'F3 - Relevé du personnel'!$D$4:$D$281,$AM121,'F3 - Relevé du personnel'!$C$4:$C$281,'F0 - Données générales'!$K$31,'F3 - Relevé du personnel'!$B$4:$B$281,"0-3 ans")</f>
        <v>0</v>
      </c>
      <c r="AQ121" s="181">
        <f>SUMIFS('F3 - Relevé du personnel'!$H$4:$H$281,'F3 - Relevé du personnel'!$D$4:$D$281,$AM121,'F3 - Relevé du personnel'!$C$4:$C$281,'F0 - Données générales'!$K$31,'F3 - Relevé du personnel'!$B$4:$B$281,"0-3 ans")</f>
        <v>0</v>
      </c>
      <c r="AR121" s="256">
        <f>SUMIFS('F3 - Relevé du personnel'!$I$4:$I$281,'F3 - Relevé du personnel'!$D$4:$D$281,$AM121,'F3 - Relevé du personnel'!$C$4:$C$281,'F0 - Données générales'!$K$31,'F3 - Relevé du personnel'!$B$4:$B$281,"0-3 ans")</f>
        <v>0</v>
      </c>
      <c r="AS121" s="256">
        <f>SUMIFS('F3 - Relevé du personnel'!$M$4:$M$281,'F3 - Relevé du personnel'!$D$4:$D$281,$AM121,'F3 - Relevé du personnel'!$C$4:$C$281,'F0 - Données générales'!$K$31,'F3 - Relevé du personnel'!$B$4:$B$281,"0-3 ans")</f>
        <v>0</v>
      </c>
      <c r="AT121" s="196">
        <f t="shared" si="80"/>
        <v>0</v>
      </c>
      <c r="AU121" s="256">
        <f>SUMIFS('F3 - Relevé du personnel'!$O$4:$O$281,'F3 - Relevé du personnel'!$D$4:$D$281,$AM121,'F3 - Relevé du personnel'!$C$4:$C$281,'F0 - Données générales'!$K$31,'F3 - Relevé du personnel'!$B$4:$B$281,"0-3 ans")</f>
        <v>0</v>
      </c>
      <c r="AV121" s="256">
        <f>SUMIFS('F3 - Relevé du personnel'!$P$4:$P$281,'F3 - Relevé du personnel'!$D$4:$D$281,$AM121,'F3 - Relevé du personnel'!$C$4:$C$281,'F0 - Données générales'!$K$31,'F3 - Relevé du personnel'!$B$4:$B$281,"0-3 ans")</f>
        <v>0</v>
      </c>
      <c r="AW121" s="256">
        <f>SUMIFS('F3 - Relevé du personnel'!$Q$4:$Q$281,'F3 - Relevé du personnel'!$D$4:$D$281,$AM121,'F3 - Relevé du personnel'!$C$4:$C$281,'F0 - Données générales'!$K$31,'F3 - Relevé du personnel'!$B$4:$B$281,"0-3 ans")</f>
        <v>0</v>
      </c>
      <c r="AX121" s="182">
        <f t="shared" si="81"/>
        <v>0</v>
      </c>
      <c r="AY121" s="197" t="str">
        <f>IF(AP121=0,"",(AX121)/AP121)</f>
        <v/>
      </c>
      <c r="AZ121" s="198" t="str">
        <f>IF(AP121=0,"",(SUMPRODUCT(($D$4:$D$253=AM121)*($C$4:$C$253='F0 - Données générales'!$K$31)*($E$4:$E$253)*($F$4:$F$253)*($B$4:$B$253="0-3 ans"))+SUMPRODUCT(($D$257:$D$281=AM121)*($C$257:$C$281='F0 - Données générales'!$K$31)*($B$257:$B$281="0-3 ans")*($E$257:$E$281)*($F$257:$F$281)))/(SUMIFS('F3 - Relevé du personnel'!$E$4:$E$281,'F3 - Relevé du personnel'!$D$4:$D$281,$AM121,'F3 - Relevé du personnel'!$C$4:$C$281,'F0 - Données générales'!$K$31,'F3 - Relevé du personnel'!$B$4:$B$281,"0-3 ans")))</f>
        <v/>
      </c>
      <c r="BB121" s="760" t="s">
        <v>61</v>
      </c>
      <c r="BC121" s="761"/>
      <c r="BD121" s="13" t="s">
        <v>62</v>
      </c>
      <c r="BE121" s="766" t="s">
        <v>63</v>
      </c>
      <c r="BF121" s="767"/>
      <c r="BG121" s="45">
        <f>SUMIFS('F3 - Relevé du personnel'!$E$4:$E$281,'F3 - Relevé du personnel'!$D$4:$D$281,$BD121,'F3 - Relevé du personnel'!$C$4:$C$281,'F0 - Données générales'!$K$34)</f>
        <v>0</v>
      </c>
      <c r="BH121" s="259">
        <f>SUMIFS('F3 - Relevé du personnel'!$I$4:$I$281,'F3 - Relevé du personnel'!$D$4:$D$281,$BD121,'F3 - Relevé du personnel'!$C$4:$C$281,'F0 - Données générales'!$K$34)</f>
        <v>0</v>
      </c>
      <c r="BI121" s="259">
        <f>SUMIFS('F3 - Relevé du personnel'!$M$4:$M$281,'F3 - Relevé du personnel'!$D$4:$D$281,$BD121,'F3 - Relevé du personnel'!$C$4:$C$281,'F0 - Données générales'!$K$34)</f>
        <v>0</v>
      </c>
      <c r="BJ121" s="189">
        <f>(BH121+BI121)</f>
        <v>0</v>
      </c>
      <c r="BK121" s="259">
        <f>SUMIFS('F3 - Relevé du personnel'!$O$4:$O$281,'F3 - Relevé du personnel'!$D$4:$D$281,$BD121,'F3 - Relevé du personnel'!$C$4:$C$281,'F0 - Données générales'!$K$34)</f>
        <v>0</v>
      </c>
      <c r="BL121" s="259">
        <f>SUMIFS('F3 - Relevé du personnel'!$P$4:$P$281,'F3 - Relevé du personnel'!$D$4:$D$281,$BD121,'F3 - Relevé du personnel'!$C$4:$C$281,'F0 - Données générales'!$K$34)</f>
        <v>0</v>
      </c>
      <c r="BM121" s="259">
        <f>SUMIFS('F3 - Relevé du personnel'!$Q$4:$Q$281,'F3 - Relevé du personnel'!$D$4:$D$281,$BD121,'F3 - Relevé du personnel'!$C$4:$C$281,'F0 - Données générales'!$K$34)</f>
        <v>0</v>
      </c>
      <c r="BN121" s="48">
        <f>BH121+BI121-SUM(BK121:BM121)</f>
        <v>0</v>
      </c>
      <c r="BO121" s="187" t="str">
        <f>IF(BG121=0,"",(BN121)/BG121)</f>
        <v/>
      </c>
      <c r="BP121" s="188" t="str">
        <f>IF(BG121=0,"",(SUMPRODUCT(($D$4:$D$253=BD121)*($C$4:$C$253='F0 - Données générales'!$K$34)*($E$4:$E$253)*($F$4:$F$253))+SUMPRODUCT(($D$257:$D$281=BD121)*($C$257:$C$281='F0 - Données générales'!$K$34)*($E$257:$E$281)*($F$257:$F$281)))/(SUMIFS('F3 - Relevé du personnel'!$E$4:$E$281,'F3 - Relevé du personnel'!$D$4:$D$281,$BD121,'F3 - Relevé du personnel'!$C$4:$C$281,'F0 - Données générales'!$K$34)))</f>
        <v/>
      </c>
      <c r="BS121" s="63"/>
      <c r="BT121" s="63"/>
      <c r="BU121" s="63"/>
      <c r="BV121" s="14"/>
    </row>
    <row r="122" spans="1:74" ht="15" customHeight="1" x14ac:dyDescent="0.3">
      <c r="A122" s="106">
        <v>119</v>
      </c>
      <c r="B122" s="324">
        <f>'F0 - Données générales'!$C$4</f>
        <v>7</v>
      </c>
      <c r="C122" s="106" t="s">
        <v>95</v>
      </c>
      <c r="D122" s="106"/>
      <c r="E122" s="107"/>
      <c r="F122" s="108"/>
      <c r="G122" s="109"/>
      <c r="H122" s="110">
        <f t="shared" si="47"/>
        <v>0</v>
      </c>
      <c r="I122" s="177"/>
      <c r="J122" s="118" t="str">
        <f>IF(OR(D122="",F122=""),"",(((HLOOKUP(D122,'Carrières et points'!$A$20:$AD$60,F122+2,FALSE)*'Carrières et points'!$C$7*'Carrières et points'!$C$9)+(HLOOKUP(D122,'Carrières et points'!$A$20:$AD$60,F122+2,FALSE)*'Carrières et points'!$C$13*'Carrières et points'!$C$15))*(1+'F0 - Données générales'!$I$4)+((HLOOKUP(D122,'Carrières et points'!$A$20:$AD$60,F122+2,FALSE)*'Carrières et points'!$C$7*'Carrières et points'!$C$9)+(HLOOKUP(D122,'Carrières et points'!$A$20:$AD$60,F122+2,FALSE)*'Carrières et points'!$C$13*'Carrières et points'!$C$15))/12*(1+'F0 - Données générales'!$L$13))*E122)</f>
        <v/>
      </c>
      <c r="K122" s="118" t="str">
        <f t="shared" si="48"/>
        <v/>
      </c>
      <c r="L122" s="109"/>
      <c r="M122" s="177"/>
      <c r="N122" s="118" t="str">
        <f t="shared" si="49"/>
        <v/>
      </c>
      <c r="O122" s="177"/>
      <c r="P122" s="177"/>
      <c r="Q122" s="177"/>
      <c r="R122" s="255" t="str">
        <f t="shared" si="50"/>
        <v/>
      </c>
      <c r="S122" s="120"/>
      <c r="T122" s="743"/>
      <c r="U122" s="743"/>
      <c r="V122" s="749" t="s">
        <v>166</v>
      </c>
      <c r="W122" s="749"/>
      <c r="X122" s="749"/>
      <c r="Y122" s="199">
        <f>SUM(Y116:Y121)</f>
        <v>0</v>
      </c>
      <c r="Z122" s="199">
        <f>SUM(Z116:Z121)</f>
        <v>0</v>
      </c>
      <c r="AA122" s="200">
        <f>SUM(AA116:AA121)</f>
        <v>0</v>
      </c>
      <c r="AB122" s="200">
        <f>SUM(AB116:AB121)</f>
        <v>0</v>
      </c>
      <c r="AC122" s="200">
        <f t="shared" si="72"/>
        <v>0</v>
      </c>
      <c r="AD122" s="200">
        <f>SUM(AD116:AD121)</f>
        <v>0</v>
      </c>
      <c r="AE122" s="200">
        <f>SUM(AE116:AE121)</f>
        <v>0</v>
      </c>
      <c r="AF122" s="200">
        <f>SUM(AF116:AF121)</f>
        <v>0</v>
      </c>
      <c r="AG122" s="201">
        <f t="shared" si="73"/>
        <v>0</v>
      </c>
      <c r="AH122" s="201" t="str">
        <f t="shared" si="74"/>
        <v/>
      </c>
      <c r="AI122" s="202"/>
      <c r="AK122" s="743"/>
      <c r="AL122" s="743"/>
      <c r="AM122" s="749" t="s">
        <v>166</v>
      </c>
      <c r="AN122" s="749"/>
      <c r="AO122" s="749"/>
      <c r="AP122" s="199">
        <f>SUM(AP116:AP121)</f>
        <v>0</v>
      </c>
      <c r="AQ122" s="199">
        <f>SUM(AQ116:AQ121)</f>
        <v>0</v>
      </c>
      <c r="AR122" s="200">
        <f>SUM(AR116:AR121)</f>
        <v>0</v>
      </c>
      <c r="AS122" s="200">
        <f>SUM(AS116:AS121)</f>
        <v>0</v>
      </c>
      <c r="AT122" s="200">
        <f>(AR122+AS122)</f>
        <v>0</v>
      </c>
      <c r="AU122" s="200">
        <f>SUM(AU116:AU121)</f>
        <v>0</v>
      </c>
      <c r="AV122" s="200">
        <f>SUM(AV116:AV121)</f>
        <v>0</v>
      </c>
      <c r="AW122" s="200">
        <f>SUM(AW116:AW121)</f>
        <v>0</v>
      </c>
      <c r="AX122" s="201">
        <f>AR122+AS122-SUM(AU122:AW122)</f>
        <v>0</v>
      </c>
      <c r="AY122" s="201" t="str">
        <f t="shared" si="79"/>
        <v/>
      </c>
      <c r="AZ122" s="202"/>
      <c r="BB122" s="760" t="s">
        <v>65</v>
      </c>
      <c r="BC122" s="761"/>
      <c r="BD122" s="13" t="s">
        <v>66</v>
      </c>
      <c r="BE122" s="758" t="s">
        <v>67</v>
      </c>
      <c r="BF122" s="759"/>
      <c r="BG122" s="45">
        <f>SUMIFS('F3 - Relevé du personnel'!$E$4:$E$281,'F3 - Relevé du personnel'!$D$4:$D$281,$BD122,'F3 - Relevé du personnel'!$C$4:$C$281,'F0 - Données générales'!$K$34)</f>
        <v>0</v>
      </c>
      <c r="BH122" s="259">
        <f>SUMIFS('F3 - Relevé du personnel'!$I$4:$I$281,'F3 - Relevé du personnel'!$D$4:$D$281,$BD122,'F3 - Relevé du personnel'!$C$4:$C$281,'F0 - Données générales'!$K$34)</f>
        <v>0</v>
      </c>
      <c r="BI122" s="259">
        <f>SUMIFS('F3 - Relevé du personnel'!$M$4:$M$281,'F3 - Relevé du personnel'!$D$4:$D$281,$BD122,'F3 - Relevé du personnel'!$C$4:$C$281,'F0 - Données générales'!$K$34)</f>
        <v>0</v>
      </c>
      <c r="BJ122" s="189">
        <f t="shared" ref="BJ122:BJ129" si="82">(BH122+BI122)</f>
        <v>0</v>
      </c>
      <c r="BK122" s="259">
        <f>SUMIFS('F3 - Relevé du personnel'!$O$4:$O$281,'F3 - Relevé du personnel'!$D$4:$D$281,$BD122,'F3 - Relevé du personnel'!$C$4:$C$281,'F0 - Données générales'!$K$34)</f>
        <v>0</v>
      </c>
      <c r="BL122" s="259">
        <f>SUMIFS('F3 - Relevé du personnel'!$P$4:$P$281,'F3 - Relevé du personnel'!$D$4:$D$281,$BD122,'F3 - Relevé du personnel'!$C$4:$C$281,'F0 - Données générales'!$K$34)</f>
        <v>0</v>
      </c>
      <c r="BM122" s="259">
        <f>SUMIFS('F3 - Relevé du personnel'!$Q$4:$Q$281,'F3 - Relevé du personnel'!$D$4:$D$281,$BD122,'F3 - Relevé du personnel'!$C$4:$C$281,'F0 - Données générales'!$K$34)</f>
        <v>0</v>
      </c>
      <c r="BN122" s="48">
        <f t="shared" ref="BN122:BN129" si="83">BH122+BI122-SUM(BK122:BM122)</f>
        <v>0</v>
      </c>
      <c r="BO122" s="187" t="str">
        <f t="shared" ref="BO122:BO129" si="84">IF(BG122=0,"",(BN122)/BG122)</f>
        <v/>
      </c>
      <c r="BP122" s="188" t="str">
        <f>IF(BG122=0,"",(SUMPRODUCT(($D$4:$D$253=BD122)*($C$4:$C$253='F0 - Données générales'!$K$34)*($E$4:$E$253)*($F$4:$F$253))+SUMPRODUCT(($D$257:$D$281=BD122)*($C$257:$C$281='F0 - Données générales'!$K$34)*($E$257:$E$281)*($F$257:$F$281)))/(SUMIFS('F3 - Relevé du personnel'!$E$4:$E$281,'F3 - Relevé du personnel'!$D$4:$D$281,$BD122,'F3 - Relevé du personnel'!$C$4:$C$281,'F0 - Données générales'!$K$34)))</f>
        <v/>
      </c>
      <c r="BS122" s="63"/>
      <c r="BT122" s="63"/>
      <c r="BU122" s="63"/>
      <c r="BV122" s="14"/>
    </row>
    <row r="123" spans="1:74" ht="15" customHeight="1" x14ac:dyDescent="0.3">
      <c r="A123" s="106">
        <v>120</v>
      </c>
      <c r="B123" s="324">
        <f>'F0 - Données générales'!$C$4</f>
        <v>7</v>
      </c>
      <c r="C123" s="106" t="s">
        <v>95</v>
      </c>
      <c r="D123" s="106"/>
      <c r="E123" s="107"/>
      <c r="F123" s="108"/>
      <c r="G123" s="109"/>
      <c r="H123" s="110">
        <f t="shared" si="47"/>
        <v>0</v>
      </c>
      <c r="I123" s="177"/>
      <c r="J123" s="118" t="str">
        <f>IF(OR(D123="",F123=""),"",(((HLOOKUP(D123,'Carrières et points'!$A$20:$AD$60,F123+2,FALSE)*'Carrières et points'!$C$7*'Carrières et points'!$C$9)+(HLOOKUP(D123,'Carrières et points'!$A$20:$AD$60,F123+2,FALSE)*'Carrières et points'!$C$13*'Carrières et points'!$C$15))*(1+'F0 - Données générales'!$I$4)+((HLOOKUP(D123,'Carrières et points'!$A$20:$AD$60,F123+2,FALSE)*'Carrières et points'!$C$7*'Carrières et points'!$C$9)+(HLOOKUP(D123,'Carrières et points'!$A$20:$AD$60,F123+2,FALSE)*'Carrières et points'!$C$13*'Carrières et points'!$C$15))/12*(1+'F0 - Données générales'!$L$13))*E123)</f>
        <v/>
      </c>
      <c r="K123" s="118" t="str">
        <f t="shared" si="48"/>
        <v/>
      </c>
      <c r="L123" s="109"/>
      <c r="M123" s="177"/>
      <c r="N123" s="118" t="str">
        <f t="shared" si="49"/>
        <v/>
      </c>
      <c r="O123" s="177"/>
      <c r="P123" s="177"/>
      <c r="Q123" s="177"/>
      <c r="R123" s="255" t="str">
        <f t="shared" si="50"/>
        <v/>
      </c>
      <c r="S123" s="120"/>
      <c r="T123" s="742" t="s">
        <v>79</v>
      </c>
      <c r="U123" s="742"/>
      <c r="V123" s="26" t="s">
        <v>92</v>
      </c>
      <c r="W123" s="741" t="s">
        <v>93</v>
      </c>
      <c r="X123" s="741"/>
      <c r="Y123" s="181">
        <f>SUMIFS('F3 - Relevé du personnel'!$E$4:$E$281,'F3 - Relevé du personnel'!$D$4:$D$281,$V123,'F3 - Relevé du personnel'!$C$4:$C$281,'F0 - Données générales'!$K$31,'F3 - Relevé du personnel'!$B$4:$B$281,"8.3")</f>
        <v>0</v>
      </c>
      <c r="Z123" s="181">
        <f>SUMIFS('F3 - Relevé du personnel'!$H$4:$H$281,'F3 - Relevé du personnel'!$D$4:$D$281,$V123,'F3 - Relevé du personnel'!$C$4:$C$281,'F0 - Données générales'!$K$31,'F3 - Relevé du personnel'!$B$4:$B$281,"8.3")</f>
        <v>0</v>
      </c>
      <c r="AA123" s="256">
        <f>SUMIFS('F3 - Relevé du personnel'!$I$4:$I$281,'F3 - Relevé du personnel'!$D$4:$D$281,$V123,'F3 - Relevé du personnel'!$C$4:$C$281,'F0 - Données générales'!$K$31,'F3 - Relevé du personnel'!$B$4:$B$281,"8.3")</f>
        <v>0</v>
      </c>
      <c r="AB123" s="256">
        <f>SUMIFS('F3 - Relevé du personnel'!$M$4:$M$281,'F3 - Relevé du personnel'!$D$4:$D$281,$V123,'F3 - Relevé du personnel'!$C$4:$C$281,'F0 - Données générales'!$K$31,'F3 - Relevé du personnel'!$B$4:$B$281,"8.3")</f>
        <v>0</v>
      </c>
      <c r="AC123" s="196">
        <f t="shared" si="72"/>
        <v>0</v>
      </c>
      <c r="AD123" s="256">
        <f>SUMIFS('F3 - Relevé du personnel'!$O$4:$O$281,'F3 - Relevé du personnel'!$D$4:$D$281,$V123,'F3 - Relevé du personnel'!$C$4:$C$281,'F0 - Données générales'!$K$31,'F3 - Relevé du personnel'!$B$4:$B$281,"8.3")</f>
        <v>0</v>
      </c>
      <c r="AE123" s="256">
        <f>SUMIFS('F3 - Relevé du personnel'!$P$4:$P$281,'F3 - Relevé du personnel'!$D$4:$D$281,$V123,'F3 - Relevé du personnel'!$C$4:$C$281,'F0 - Données générales'!$K$31,'F3 - Relevé du personnel'!$B$4:$B$281,"8.3")</f>
        <v>0</v>
      </c>
      <c r="AF123" s="256">
        <f>SUMIFS('F3 - Relevé du personnel'!$Q$4:$Q$281,'F3 - Relevé du personnel'!$D$4:$D$281,$V123,'F3 - Relevé du personnel'!$C$4:$C$281,'F0 - Données générales'!$K$31,'F3 - Relevé du personnel'!$B$4:$B$281,"8.3")</f>
        <v>0</v>
      </c>
      <c r="AG123" s="182">
        <f t="shared" si="73"/>
        <v>0</v>
      </c>
      <c r="AH123" s="197" t="str">
        <f t="shared" si="74"/>
        <v/>
      </c>
      <c r="AI123" s="198" t="str">
        <f>IF(Y123=0,"",(SUMPRODUCT(($D$4:$D$253=V123)*($C$4:$C$253='F0 - Données générales'!$K$31)*($E$4:$E$253)*($F$4:$F$253)*($B$4:$B$253="8.3"))+SUMPRODUCT(($D$257:$D$281=V123)*($C$257:$C$281='F0 - Données générales'!$K$31)*($B$257:$B$281="8.3")*($E$257:$E$281)*($F$257:$F$281)))/(SUMIFS('F3 - Relevé du personnel'!$E$4:$E$281,'F3 - Relevé du personnel'!$D$4:$D$281,$V123,'F3 - Relevé du personnel'!$C$4:$C$281,'F0 - Données générales'!$K$31,'F3 - Relevé du personnel'!$B$4:$B$281,"8.3")))</f>
        <v/>
      </c>
      <c r="AK123" s="742" t="s">
        <v>79</v>
      </c>
      <c r="AL123" s="742"/>
      <c r="AM123" s="26" t="s">
        <v>92</v>
      </c>
      <c r="AN123" s="741" t="s">
        <v>93</v>
      </c>
      <c r="AO123" s="741"/>
      <c r="AP123" s="181">
        <f>SUMIFS('F3 - Relevé du personnel'!$E$4:$E$281,'F3 - Relevé du personnel'!$D$4:$D$281,$AM123,'F3 - Relevé du personnel'!$C$4:$C$281,'F0 - Données générales'!$K$31,'F3 - Relevé du personnel'!$B$4:$B$281,"0-3 ans")</f>
        <v>0</v>
      </c>
      <c r="AQ123" s="181">
        <f>SUMIFS('F3 - Relevé du personnel'!$H$4:$H$281,'F3 - Relevé du personnel'!$D$4:$D$281,$AM123,'F3 - Relevé du personnel'!$C$4:$C$281,'F0 - Données générales'!$K$31,'F3 - Relevé du personnel'!$B$4:$B$281,"0-3 ans")</f>
        <v>0</v>
      </c>
      <c r="AR123" s="256">
        <f>SUMIFS('F3 - Relevé du personnel'!$I$4:$I$281,'F3 - Relevé du personnel'!$D$4:$D$281,$AM123,'F3 - Relevé du personnel'!$C$4:$C$281,'F0 - Données générales'!$K$31,'F3 - Relevé du personnel'!$B$4:$B$281,"0-3 ans")</f>
        <v>0</v>
      </c>
      <c r="AS123" s="256">
        <f>SUMIFS('F3 - Relevé du personnel'!$M$4:$M$281,'F3 - Relevé du personnel'!$D$4:$D$281,$AM123,'F3 - Relevé du personnel'!$C$4:$C$281,'F0 - Données générales'!$K$31,'F3 - Relevé du personnel'!$B$4:$B$281,"0-3 ans")</f>
        <v>0</v>
      </c>
      <c r="AT123" s="196">
        <f>(AR123+AS123)</f>
        <v>0</v>
      </c>
      <c r="AU123" s="256">
        <f>SUMIFS('F3 - Relevé du personnel'!$O$4:$O$281,'F3 - Relevé du personnel'!$D$4:$D$281,$AM123,'F3 - Relevé du personnel'!$C$4:$C$281,'F0 - Données générales'!$K$31,'F3 - Relevé du personnel'!$B$4:$B$281,"0-3 ans")</f>
        <v>0</v>
      </c>
      <c r="AV123" s="256">
        <f>SUMIFS('F3 - Relevé du personnel'!$P$4:$P$281,'F3 - Relevé du personnel'!$D$4:$D$281,$AM123,'F3 - Relevé du personnel'!$C$4:$C$281,'F0 - Données générales'!$K$31,'F3 - Relevé du personnel'!$B$4:$B$281,"0-3 ans")</f>
        <v>0</v>
      </c>
      <c r="AW123" s="256">
        <f>SUMIFS('F3 - Relevé du personnel'!$Q$4:$Q$281,'F3 - Relevé du personnel'!$D$4:$D$281,$AM123,'F3 - Relevé du personnel'!$C$4:$C$281,'F0 - Données générales'!$K$31,'F3 - Relevé du personnel'!$B$4:$B$281,"0-3 ans")</f>
        <v>0</v>
      </c>
      <c r="AX123" s="182">
        <f>AR123+AS123-SUM(AU123:AW123)</f>
        <v>0</v>
      </c>
      <c r="AY123" s="197" t="str">
        <f>IF(AP123=0,"",(AX123)/AP123)</f>
        <v/>
      </c>
      <c r="AZ123" s="198" t="str">
        <f>IF(AP123=0,"",(SUMPRODUCT(($D$4:$D$253=AM123)*($C$4:$C$253='F0 - Données générales'!$K$31)*($E$4:$E$253)*($F$4:$F$253)*($B$4:$B$253="0-3 ans"))+SUMPRODUCT(($D$257:$D$281=AM123)*($C$257:$C$281='F0 - Données générales'!$K$31)*($B$257:$B$281="0-3 ans")*($E$257:$E$281)*($F$257:$F$281)))/(SUMIFS('F3 - Relevé du personnel'!$E$4:$E$281,'F3 - Relevé du personnel'!$D$4:$D$281,$AM123,'F3 - Relevé du personnel'!$C$4:$C$281,'F0 - Données générales'!$K$31,'F3 - Relevé du personnel'!$B$4:$B$281,"0-3 ans")))</f>
        <v/>
      </c>
      <c r="BB123" s="760" t="s">
        <v>61</v>
      </c>
      <c r="BC123" s="761"/>
      <c r="BD123" s="13" t="s">
        <v>68</v>
      </c>
      <c r="BE123" s="758" t="s">
        <v>69</v>
      </c>
      <c r="BF123" s="759"/>
      <c r="BG123" s="45">
        <f>SUMIFS('F3 - Relevé du personnel'!$E$4:$E$281,'F3 - Relevé du personnel'!$D$4:$D$281,$BD123,'F3 - Relevé du personnel'!$C$4:$C$281,'F0 - Données générales'!$K$34)</f>
        <v>0</v>
      </c>
      <c r="BH123" s="259">
        <f>SUMIFS('F3 - Relevé du personnel'!$I$4:$I$281,'F3 - Relevé du personnel'!$D$4:$D$281,$BD123,'F3 - Relevé du personnel'!$C$4:$C$281,'F0 - Données générales'!$K$34)</f>
        <v>0</v>
      </c>
      <c r="BI123" s="259">
        <f>SUMIFS('F3 - Relevé du personnel'!$M$4:$M$281,'F3 - Relevé du personnel'!$D$4:$D$281,$BD123,'F3 - Relevé du personnel'!$C$4:$C$281,'F0 - Données générales'!$K$34)</f>
        <v>0</v>
      </c>
      <c r="BJ123" s="189">
        <f t="shared" si="82"/>
        <v>0</v>
      </c>
      <c r="BK123" s="259">
        <f>SUMIFS('F3 - Relevé du personnel'!$O$4:$O$281,'F3 - Relevé du personnel'!$D$4:$D$281,$BD123,'F3 - Relevé du personnel'!$C$4:$C$281,'F0 - Données générales'!$K$34)</f>
        <v>0</v>
      </c>
      <c r="BL123" s="259">
        <f>SUMIFS('F3 - Relevé du personnel'!$P$4:$P$281,'F3 - Relevé du personnel'!$D$4:$D$281,$BD123,'F3 - Relevé du personnel'!$C$4:$C$281,'F0 - Données générales'!$K$34)</f>
        <v>0</v>
      </c>
      <c r="BM123" s="259">
        <f>SUMIFS('F3 - Relevé du personnel'!$Q$4:$Q$281,'F3 - Relevé du personnel'!$D$4:$D$281,$BD123,'F3 - Relevé du personnel'!$C$4:$C$281,'F0 - Données générales'!$K$34)</f>
        <v>0</v>
      </c>
      <c r="BN123" s="48">
        <f t="shared" si="83"/>
        <v>0</v>
      </c>
      <c r="BO123" s="187" t="str">
        <f t="shared" si="84"/>
        <v/>
      </c>
      <c r="BP123" s="188" t="str">
        <f>IF(BG123=0,"",(SUMPRODUCT(($D$4:$D$253=BD123)*($C$4:$C$253='F0 - Données générales'!$K$34)*($E$4:$E$253)*($F$4:$F$253))+SUMPRODUCT(($D$257:$D$281=BD123)*($C$257:$C$281='F0 - Données générales'!$K$34)*($E$257:$E$281)*($F$257:$F$281)))/(SUMIFS('F3 - Relevé du personnel'!$E$4:$E$281,'F3 - Relevé du personnel'!$D$4:$D$281,$BD123,'F3 - Relevé du personnel'!$C$4:$C$281,'F0 - Données générales'!$K$34)))</f>
        <v/>
      </c>
      <c r="BS123" s="63"/>
      <c r="BT123" s="63"/>
      <c r="BU123" s="111"/>
      <c r="BV123" s="14"/>
    </row>
    <row r="124" spans="1:74" ht="15" customHeight="1" x14ac:dyDescent="0.3">
      <c r="A124" s="106">
        <v>121</v>
      </c>
      <c r="B124" s="324">
        <f>'F0 - Données générales'!$C$4</f>
        <v>7</v>
      </c>
      <c r="C124" s="106" t="s">
        <v>95</v>
      </c>
      <c r="D124" s="106"/>
      <c r="E124" s="107"/>
      <c r="F124" s="108"/>
      <c r="G124" s="109"/>
      <c r="H124" s="110">
        <f t="shared" si="47"/>
        <v>0</v>
      </c>
      <c r="I124" s="177"/>
      <c r="J124" s="118" t="str">
        <f>IF(OR(D124="",F124=""),"",(((HLOOKUP(D124,'Carrières et points'!$A$20:$AD$60,F124+2,FALSE)*'Carrières et points'!$C$7*'Carrières et points'!$C$9)+(HLOOKUP(D124,'Carrières et points'!$A$20:$AD$60,F124+2,FALSE)*'Carrières et points'!$C$13*'Carrières et points'!$C$15))*(1+'F0 - Données générales'!$I$4)+((HLOOKUP(D124,'Carrières et points'!$A$20:$AD$60,F124+2,FALSE)*'Carrières et points'!$C$7*'Carrières et points'!$C$9)+(HLOOKUP(D124,'Carrières et points'!$A$20:$AD$60,F124+2,FALSE)*'Carrières et points'!$C$13*'Carrières et points'!$C$15))/12*(1+'F0 - Données générales'!$L$13))*E124)</f>
        <v/>
      </c>
      <c r="K124" s="118" t="str">
        <f t="shared" si="48"/>
        <v/>
      </c>
      <c r="L124" s="109"/>
      <c r="M124" s="177"/>
      <c r="N124" s="118" t="str">
        <f t="shared" si="49"/>
        <v/>
      </c>
      <c r="O124" s="177"/>
      <c r="P124" s="177"/>
      <c r="Q124" s="177"/>
      <c r="R124" s="255" t="str">
        <f t="shared" si="50"/>
        <v/>
      </c>
      <c r="S124" s="120"/>
      <c r="T124" s="743"/>
      <c r="U124" s="743"/>
      <c r="V124" s="749" t="s">
        <v>167</v>
      </c>
      <c r="W124" s="749"/>
      <c r="X124" s="749"/>
      <c r="Y124" s="199">
        <f>SUM(Y123:Y123)</f>
        <v>0</v>
      </c>
      <c r="Z124" s="199">
        <f>SUM(Z123:Z123)</f>
        <v>0</v>
      </c>
      <c r="AA124" s="200">
        <f>SUM(AA123:AA123)</f>
        <v>0</v>
      </c>
      <c r="AB124" s="200">
        <f>SUM(AB123:AB123)</f>
        <v>0</v>
      </c>
      <c r="AC124" s="200">
        <f t="shared" si="72"/>
        <v>0</v>
      </c>
      <c r="AD124" s="200">
        <f>SUM(AD123:AD123)</f>
        <v>0</v>
      </c>
      <c r="AE124" s="200">
        <f>SUM(AE123:AE123)</f>
        <v>0</v>
      </c>
      <c r="AF124" s="200">
        <f>SUM(AF123:AF123)</f>
        <v>0</v>
      </c>
      <c r="AG124" s="201">
        <f t="shared" si="73"/>
        <v>0</v>
      </c>
      <c r="AH124" s="201" t="str">
        <f t="shared" si="74"/>
        <v/>
      </c>
      <c r="AI124" s="202"/>
      <c r="AK124" s="743"/>
      <c r="AL124" s="743"/>
      <c r="AM124" s="749" t="s">
        <v>167</v>
      </c>
      <c r="AN124" s="749"/>
      <c r="AO124" s="749"/>
      <c r="AP124" s="199">
        <f>SUM(AP123:AP123)</f>
        <v>0</v>
      </c>
      <c r="AQ124" s="199">
        <f>SUM(AQ123:AQ123)</f>
        <v>0</v>
      </c>
      <c r="AR124" s="200">
        <f>SUM(AR123:AR123)</f>
        <v>0</v>
      </c>
      <c r="AS124" s="200">
        <f>SUM(AS123:AS123)</f>
        <v>0</v>
      </c>
      <c r="AT124" s="200">
        <f>(AR124+AS124)</f>
        <v>0</v>
      </c>
      <c r="AU124" s="200">
        <f>SUM(AU123:AU123)</f>
        <v>0</v>
      </c>
      <c r="AV124" s="200">
        <f>SUM(AV123:AV123)</f>
        <v>0</v>
      </c>
      <c r="AW124" s="200">
        <f>SUM(AW123:AW123)</f>
        <v>0</v>
      </c>
      <c r="AX124" s="201">
        <f>AR124+AS124-SUM(AU124:AW124)</f>
        <v>0</v>
      </c>
      <c r="AY124" s="201" t="str">
        <f t="shared" si="79"/>
        <v/>
      </c>
      <c r="AZ124" s="202"/>
      <c r="BB124" s="760" t="s">
        <v>64</v>
      </c>
      <c r="BC124" s="761"/>
      <c r="BD124" s="13" t="s">
        <v>70</v>
      </c>
      <c r="BE124" s="758" t="s">
        <v>71</v>
      </c>
      <c r="BF124" s="759"/>
      <c r="BG124" s="45">
        <f>SUMIFS('F3 - Relevé du personnel'!$E$4:$E$281,'F3 - Relevé du personnel'!$D$4:$D$281,$BD124,'F3 - Relevé du personnel'!$C$4:$C$281,'F0 - Données générales'!$K$34)</f>
        <v>0</v>
      </c>
      <c r="BH124" s="259">
        <f>SUMIFS('F3 - Relevé du personnel'!$I$4:$I$281,'F3 - Relevé du personnel'!$D$4:$D$281,$BD124,'F3 - Relevé du personnel'!$C$4:$C$281,'F0 - Données générales'!$K$34)</f>
        <v>0</v>
      </c>
      <c r="BI124" s="259">
        <f>SUMIFS('F3 - Relevé du personnel'!$M$4:$M$281,'F3 - Relevé du personnel'!$D$4:$D$281,$BD124,'F3 - Relevé du personnel'!$C$4:$C$281,'F0 - Données générales'!$K$34)</f>
        <v>0</v>
      </c>
      <c r="BJ124" s="189">
        <f t="shared" si="82"/>
        <v>0</v>
      </c>
      <c r="BK124" s="259">
        <f>SUMIFS('F3 - Relevé du personnel'!$O$4:$O$281,'F3 - Relevé du personnel'!$D$4:$D$281,$BD124,'F3 - Relevé du personnel'!$C$4:$C$281,'F0 - Données générales'!$K$34)</f>
        <v>0</v>
      </c>
      <c r="BL124" s="259">
        <f>SUMIFS('F3 - Relevé du personnel'!$P$4:$P$281,'F3 - Relevé du personnel'!$D$4:$D$281,$BD124,'F3 - Relevé du personnel'!$C$4:$C$281,'F0 - Données générales'!$K$34)</f>
        <v>0</v>
      </c>
      <c r="BM124" s="259">
        <f>SUMIFS('F3 - Relevé du personnel'!$Q$4:$Q$281,'F3 - Relevé du personnel'!$D$4:$D$281,$BD124,'F3 - Relevé du personnel'!$C$4:$C$281,'F0 - Données générales'!$K$34)</f>
        <v>0</v>
      </c>
      <c r="BN124" s="48">
        <f t="shared" si="83"/>
        <v>0</v>
      </c>
      <c r="BO124" s="187" t="str">
        <f t="shared" si="84"/>
        <v/>
      </c>
      <c r="BP124" s="188" t="str">
        <f>IF(BG124=0,"",(SUMPRODUCT(($D$4:$D$253=BD124)*($C$4:$C$253='F0 - Données générales'!$K$34)*($E$4:$E$253)*($F$4:$F$253))+SUMPRODUCT(($D$257:$D$281=BD124)*($C$257:$C$281='F0 - Données générales'!$K$34)*($E$257:$E$281)*($F$257:$F$281)))/(SUMIFS('F3 - Relevé du personnel'!$E$4:$E$281,'F3 - Relevé du personnel'!$D$4:$D$281,$BD124,'F3 - Relevé du personnel'!$C$4:$C$281,'F0 - Données générales'!$K$34)))</f>
        <v/>
      </c>
      <c r="BS124" s="111"/>
      <c r="BT124" s="111"/>
      <c r="BU124" s="14"/>
      <c r="BV124" s="14"/>
    </row>
    <row r="125" spans="1:74" ht="15" customHeight="1" x14ac:dyDescent="0.3">
      <c r="A125" s="106">
        <v>122</v>
      </c>
      <c r="B125" s="324">
        <f>'F0 - Données générales'!$C$4</f>
        <v>7</v>
      </c>
      <c r="C125" s="106" t="s">
        <v>95</v>
      </c>
      <c r="D125" s="106"/>
      <c r="E125" s="107"/>
      <c r="F125" s="108"/>
      <c r="G125" s="109"/>
      <c r="H125" s="110">
        <f t="shared" si="47"/>
        <v>0</v>
      </c>
      <c r="I125" s="177"/>
      <c r="J125" s="118" t="str">
        <f>IF(OR(D125="",F125=""),"",(((HLOOKUP(D125,'Carrières et points'!$A$20:$AD$60,F125+2,FALSE)*'Carrières et points'!$C$7*'Carrières et points'!$C$9)+(HLOOKUP(D125,'Carrières et points'!$A$20:$AD$60,F125+2,FALSE)*'Carrières et points'!$C$13*'Carrières et points'!$C$15))*(1+'F0 - Données générales'!$I$4)+((HLOOKUP(D125,'Carrières et points'!$A$20:$AD$60,F125+2,FALSE)*'Carrières et points'!$C$7*'Carrières et points'!$C$9)+(HLOOKUP(D125,'Carrières et points'!$A$20:$AD$60,F125+2,FALSE)*'Carrières et points'!$C$13*'Carrières et points'!$C$15))/12*(1+'F0 - Données générales'!$L$13))*E125)</f>
        <v/>
      </c>
      <c r="K125" s="118" t="str">
        <f t="shared" si="48"/>
        <v/>
      </c>
      <c r="L125" s="109"/>
      <c r="M125" s="177"/>
      <c r="N125" s="118" t="str">
        <f t="shared" si="49"/>
        <v/>
      </c>
      <c r="O125" s="177"/>
      <c r="P125" s="177"/>
      <c r="Q125" s="177"/>
      <c r="R125" s="255" t="str">
        <f t="shared" si="50"/>
        <v/>
      </c>
      <c r="S125" s="120"/>
      <c r="T125" s="742" t="s">
        <v>79</v>
      </c>
      <c r="U125" s="742"/>
      <c r="V125" s="26" t="s">
        <v>96</v>
      </c>
      <c r="W125" s="741"/>
      <c r="X125" s="741"/>
      <c r="Y125" s="181">
        <f>SUMIFS('F3 - Relevé du personnel'!$E$4:$E$281,'F3 - Relevé du personnel'!$D$4:$D$281,$V125,'F3 - Relevé du personnel'!$C$4:$C$281,'F0 - Données générales'!$K$31,'F3 - Relevé du personnel'!$B$4:$B$281,"8.3")</f>
        <v>0</v>
      </c>
      <c r="Z125" s="181">
        <f>SUMIFS('F3 - Relevé du personnel'!$H$4:$H$281,'F3 - Relevé du personnel'!$D$4:$D$281,$V125,'F3 - Relevé du personnel'!$C$4:$C$281,'F0 - Données générales'!$K$31,'F3 - Relevé du personnel'!$B$4:$B$281,"8.3")</f>
        <v>0</v>
      </c>
      <c r="AA125" s="256">
        <f>SUMIFS('F3 - Relevé du personnel'!$I$4:$I$281,'F3 - Relevé du personnel'!$D$4:$D$281,$V125,'F3 - Relevé du personnel'!$C$4:$C$281,'F0 - Données générales'!$K$31,'F3 - Relevé du personnel'!$B$4:$B$281,"8.3")</f>
        <v>0</v>
      </c>
      <c r="AB125" s="256">
        <f>SUMIFS('F3 - Relevé du personnel'!$M$4:$M$281,'F3 - Relevé du personnel'!$D$4:$D$281,$V125,'F3 - Relevé du personnel'!$C$4:$C$281,'F0 - Données générales'!$K$31,'F3 - Relevé du personnel'!$B$4:$B$281,"8.3")</f>
        <v>0</v>
      </c>
      <c r="AC125" s="196">
        <f t="shared" si="72"/>
        <v>0</v>
      </c>
      <c r="AD125" s="256">
        <f>SUMIFS('F3 - Relevé du personnel'!$O$4:$O$281,'F3 - Relevé du personnel'!$D$4:$D$281,$V125,'F3 - Relevé du personnel'!$C$4:$C$281,'F0 - Données générales'!$K$31,'F3 - Relevé du personnel'!$B$4:$B$281,"8.3")</f>
        <v>0</v>
      </c>
      <c r="AE125" s="256">
        <f>SUMIFS('F3 - Relevé du personnel'!$P$4:$P$281,'F3 - Relevé du personnel'!$D$4:$D$281,$V125,'F3 - Relevé du personnel'!$C$4:$C$281,'F0 - Données générales'!$K$31,'F3 - Relevé du personnel'!$B$4:$B$281,"8.3")</f>
        <v>0</v>
      </c>
      <c r="AF125" s="256">
        <f>SUMIFS('F3 - Relevé du personnel'!$Q$4:$Q$281,'F3 - Relevé du personnel'!$D$4:$D$281,$V125,'F3 - Relevé du personnel'!$C$4:$C$281,'F0 - Données générales'!$K$31,'F3 - Relevé du personnel'!$B$4:$B$281,"8.3")</f>
        <v>0</v>
      </c>
      <c r="AG125" s="182">
        <f t="shared" si="73"/>
        <v>0</v>
      </c>
      <c r="AH125" s="197" t="str">
        <f t="shared" si="74"/>
        <v/>
      </c>
      <c r="AI125" s="198" t="str">
        <f>IF(Y125=0,"",(SUMPRODUCT(($D$4:$D$253=V125)*($C$4:$C$253='F0 - Données générales'!$K$31)*($E$4:$E$253)*($F$4:$F$253)*($B$4:$B$253="8.3"))+SUMPRODUCT(($D$257:$D$281=V125)*($C$257:$C$281='F0 - Données générales'!$K$31)*($B$257:$B$281="8.3")*($E$257:$E$281)*($F$257:$F$281)))/(SUMIFS('F3 - Relevé du personnel'!$E$4:$E$281,'F3 - Relevé du personnel'!$D$4:$D$281,$V125,'F3 - Relevé du personnel'!$C$4:$C$281,'F0 - Données générales'!$K$31,'F3 - Relevé du personnel'!$B$4:$B$281,"8.3")))</f>
        <v/>
      </c>
      <c r="AK125" s="742" t="s">
        <v>79</v>
      </c>
      <c r="AL125" s="742"/>
      <c r="AM125" s="26" t="s">
        <v>96</v>
      </c>
      <c r="AN125" s="741"/>
      <c r="AO125" s="741"/>
      <c r="AP125" s="181">
        <f>SUMIFS('F3 - Relevé du personnel'!$E$4:$E$281,'F3 - Relevé du personnel'!$D$4:$D$281,$AM125,'F3 - Relevé du personnel'!$C$4:$C$281,'F0 - Données générales'!$K$31,'F3 - Relevé du personnel'!$B$4:$B$281,"0-3 ans")</f>
        <v>0</v>
      </c>
      <c r="AQ125" s="181">
        <f>SUMIFS('F3 - Relevé du personnel'!$H$4:$H$281,'F3 - Relevé du personnel'!$D$4:$D$281,$AM125,'F3 - Relevé du personnel'!$C$4:$C$281,'F0 - Données générales'!$K$31,'F3 - Relevé du personnel'!$B$4:$B$281,"0-3 ans")</f>
        <v>0</v>
      </c>
      <c r="AR125" s="256">
        <f>SUMIFS('F3 - Relevé du personnel'!$I$4:$I$281,'F3 - Relevé du personnel'!$D$4:$D$281,$AM125,'F3 - Relevé du personnel'!$C$4:$C$281,'F0 - Données générales'!$K$31,'F3 - Relevé du personnel'!$B$4:$B$281,"0-3 ans")</f>
        <v>0</v>
      </c>
      <c r="AS125" s="256">
        <f>SUMIFS('F3 - Relevé du personnel'!$M$4:$M$281,'F3 - Relevé du personnel'!$D$4:$D$281,$AM125,'F3 - Relevé du personnel'!$C$4:$C$281,'F0 - Données générales'!$K$31,'F3 - Relevé du personnel'!$B$4:$B$281,"0-3 ans")</f>
        <v>0</v>
      </c>
      <c r="AT125" s="196">
        <f t="shared" ref="AT125:AT134" si="85">(AR125+AS125)</f>
        <v>0</v>
      </c>
      <c r="AU125" s="256">
        <f>SUMIFS('F3 - Relevé du personnel'!$O$4:$O$281,'F3 - Relevé du personnel'!$D$4:$D$281,$AM125,'F3 - Relevé du personnel'!$C$4:$C$281,'F0 - Données générales'!$K$31,'F3 - Relevé du personnel'!$B$4:$B$281,"0-3 ans")</f>
        <v>0</v>
      </c>
      <c r="AV125" s="256">
        <f>SUMIFS('F3 - Relevé du personnel'!$P$4:$P$281,'F3 - Relevé du personnel'!$D$4:$D$281,$AM125,'F3 - Relevé du personnel'!$C$4:$C$281,'F0 - Données générales'!$K$31,'F3 - Relevé du personnel'!$B$4:$B$281,"0-3 ans")</f>
        <v>0</v>
      </c>
      <c r="AW125" s="256">
        <f>SUMIFS('F3 - Relevé du personnel'!$Q$4:$Q$281,'F3 - Relevé du personnel'!$D$4:$D$281,$AM125,'F3 - Relevé du personnel'!$C$4:$C$281,'F0 - Données générales'!$K$31,'F3 - Relevé du personnel'!$B$4:$B$281,"0-3 ans")</f>
        <v>0</v>
      </c>
      <c r="AX125" s="182">
        <f t="shared" ref="AX125:AX134" si="86">AR125+AS125-SUM(AU125:AW125)</f>
        <v>0</v>
      </c>
      <c r="AY125" s="197" t="str">
        <f t="shared" si="79"/>
        <v/>
      </c>
      <c r="AZ125" s="198" t="str">
        <f>IF(AP125=0,"",(SUMPRODUCT(($D$4:$D$253=AM125)*($C$4:$C$253='F0 - Données générales'!$K$31)*($E$4:$E$253)*($F$4:$F$253)*($B$4:$B$253="0-3 ans"))+SUMPRODUCT(($D$257:$D$281=AM125)*($C$257:$C$281='F0 - Données générales'!$K$31)*($B$257:$B$281="0-3 ans")*($E$257:$E$281)*($F$257:$F$281)))/(SUMIFS('F3 - Relevé du personnel'!$E$4:$E$281,'F3 - Relevé du personnel'!$D$4:$D$281,$AM125,'F3 - Relevé du personnel'!$C$4:$C$281,'F0 - Données générales'!$K$31,'F3 - Relevé du personnel'!$B$4:$B$281,"0-3 ans")))</f>
        <v/>
      </c>
      <c r="BB125" s="760" t="s">
        <v>64</v>
      </c>
      <c r="BC125" s="761"/>
      <c r="BD125" s="13" t="s">
        <v>72</v>
      </c>
      <c r="BE125" s="758" t="s">
        <v>73</v>
      </c>
      <c r="BF125" s="759"/>
      <c r="BG125" s="45">
        <f>SUMIFS('F3 - Relevé du personnel'!$E$4:$E$281,'F3 - Relevé du personnel'!$D$4:$D$281,$BD125,'F3 - Relevé du personnel'!$C$4:$C$281,'F0 - Données générales'!$K$34)</f>
        <v>0</v>
      </c>
      <c r="BH125" s="259">
        <f>SUMIFS('F3 - Relevé du personnel'!$I$4:$I$281,'F3 - Relevé du personnel'!$D$4:$D$281,$BD125,'F3 - Relevé du personnel'!$C$4:$C$281,'F0 - Données générales'!$K$34)</f>
        <v>0</v>
      </c>
      <c r="BI125" s="259">
        <f>SUMIFS('F3 - Relevé du personnel'!$M$4:$M$281,'F3 - Relevé du personnel'!$D$4:$D$281,$BD125,'F3 - Relevé du personnel'!$C$4:$C$281,'F0 - Données générales'!$K$34)</f>
        <v>0</v>
      </c>
      <c r="BJ125" s="189">
        <f t="shared" si="82"/>
        <v>0</v>
      </c>
      <c r="BK125" s="259">
        <f>SUMIFS('F3 - Relevé du personnel'!$O$4:$O$281,'F3 - Relevé du personnel'!$D$4:$D$281,$BD125,'F3 - Relevé du personnel'!$C$4:$C$281,'F0 - Données générales'!$K$34)</f>
        <v>0</v>
      </c>
      <c r="BL125" s="259">
        <f>SUMIFS('F3 - Relevé du personnel'!$P$4:$P$281,'F3 - Relevé du personnel'!$D$4:$D$281,$BD125,'F3 - Relevé du personnel'!$C$4:$C$281,'F0 - Données générales'!$K$34)</f>
        <v>0</v>
      </c>
      <c r="BM125" s="259">
        <f>SUMIFS('F3 - Relevé du personnel'!$Q$4:$Q$281,'F3 - Relevé du personnel'!$D$4:$D$281,$BD125,'F3 - Relevé du personnel'!$C$4:$C$281,'F0 - Données générales'!$K$34)</f>
        <v>0</v>
      </c>
      <c r="BN125" s="48">
        <f t="shared" si="83"/>
        <v>0</v>
      </c>
      <c r="BO125" s="187" t="str">
        <f t="shared" si="84"/>
        <v/>
      </c>
      <c r="BP125" s="188" t="str">
        <f>IF(BG125=0,"",(SUMPRODUCT(($D$4:$D$253=BD125)*($C$4:$C$253='F0 - Données générales'!$K$34)*($E$4:$E$253)*($F$4:$F$253))+SUMPRODUCT(($D$257:$D$281=BD125)*($C$257:$C$281='F0 - Données générales'!$K$34)*($E$257:$E$281)*($F$257:$F$281)))/(SUMIFS('F3 - Relevé du personnel'!$E$4:$E$281,'F3 - Relevé du personnel'!$D$4:$D$281,$BD125,'F3 - Relevé du personnel'!$C$4:$C$281,'F0 - Données générales'!$K$34)))</f>
        <v/>
      </c>
      <c r="BS125" s="14"/>
      <c r="BT125" s="14"/>
      <c r="BV125" s="14"/>
    </row>
    <row r="126" spans="1:74" ht="15" customHeight="1" x14ac:dyDescent="0.3">
      <c r="A126" s="106">
        <v>123</v>
      </c>
      <c r="B126" s="324">
        <f>'F0 - Données générales'!$C$4</f>
        <v>7</v>
      </c>
      <c r="C126" s="106" t="s">
        <v>95</v>
      </c>
      <c r="D126" s="106"/>
      <c r="E126" s="107"/>
      <c r="F126" s="108"/>
      <c r="G126" s="109"/>
      <c r="H126" s="110">
        <f t="shared" si="47"/>
        <v>0</v>
      </c>
      <c r="I126" s="177"/>
      <c r="J126" s="118" t="str">
        <f>IF(OR(D126="",F126=""),"",(((HLOOKUP(D126,'Carrières et points'!$A$20:$AD$60,F126+2,FALSE)*'Carrières et points'!$C$7*'Carrières et points'!$C$9)+(HLOOKUP(D126,'Carrières et points'!$A$20:$AD$60,F126+2,FALSE)*'Carrières et points'!$C$13*'Carrières et points'!$C$15))*(1+'F0 - Données générales'!$I$4)+((HLOOKUP(D126,'Carrières et points'!$A$20:$AD$60,F126+2,FALSE)*'Carrières et points'!$C$7*'Carrières et points'!$C$9)+(HLOOKUP(D126,'Carrières et points'!$A$20:$AD$60,F126+2,FALSE)*'Carrières et points'!$C$13*'Carrières et points'!$C$15))/12*(1+'F0 - Données générales'!$L$13))*E126)</f>
        <v/>
      </c>
      <c r="K126" s="118" t="str">
        <f t="shared" si="48"/>
        <v/>
      </c>
      <c r="L126" s="109"/>
      <c r="M126" s="177"/>
      <c r="N126" s="118" t="str">
        <f t="shared" si="49"/>
        <v/>
      </c>
      <c r="O126" s="177"/>
      <c r="P126" s="177"/>
      <c r="Q126" s="177"/>
      <c r="R126" s="255" t="str">
        <f t="shared" si="50"/>
        <v/>
      </c>
      <c r="S126" s="120"/>
      <c r="T126" s="742" t="s">
        <v>79</v>
      </c>
      <c r="U126" s="742"/>
      <c r="V126" s="26" t="s">
        <v>277</v>
      </c>
      <c r="W126" s="741"/>
      <c r="X126" s="741"/>
      <c r="Y126" s="181">
        <f>SUMIFS('F3 - Relevé du personnel'!$E$4:$E$281,'F3 - Relevé du personnel'!$D$4:$D$281,$V126,'F3 - Relevé du personnel'!$C$4:$C$281,'F0 - Données générales'!$K$31,'F3 - Relevé du personnel'!$B$4:$B$281,"8.3")</f>
        <v>0</v>
      </c>
      <c r="Z126" s="181">
        <f>SUMIFS('F3 - Relevé du personnel'!$H$4:$H$281,'F3 - Relevé du personnel'!$D$4:$D$281,$V126,'F3 - Relevé du personnel'!$C$4:$C$281,'F0 - Données générales'!$K$31,'F3 - Relevé du personnel'!$B$4:$B$281,"8.3")</f>
        <v>0</v>
      </c>
      <c r="AA126" s="256">
        <f>SUMIFS('F3 - Relevé du personnel'!$I$4:$I$281,'F3 - Relevé du personnel'!$D$4:$D$281,$V126,'F3 - Relevé du personnel'!$C$4:$C$281,'F0 - Données générales'!$K$31,'F3 - Relevé du personnel'!$B$4:$B$281,"8.3")</f>
        <v>0</v>
      </c>
      <c r="AB126" s="256">
        <f>SUMIFS('F3 - Relevé du personnel'!$M$4:$M$281,'F3 - Relevé du personnel'!$D$4:$D$281,$V126,'F3 - Relevé du personnel'!$C$4:$C$281,'F0 - Données générales'!$K$31,'F3 - Relevé du personnel'!$B$4:$B$281,"8.3")</f>
        <v>0</v>
      </c>
      <c r="AC126" s="196">
        <f t="shared" si="72"/>
        <v>0</v>
      </c>
      <c r="AD126" s="256">
        <f>SUMIFS('F3 - Relevé du personnel'!$O$4:$O$281,'F3 - Relevé du personnel'!$D$4:$D$281,$V126,'F3 - Relevé du personnel'!$C$4:$C$281,'F0 - Données générales'!$K$31,'F3 - Relevé du personnel'!$B$4:$B$281,"8.3")</f>
        <v>0</v>
      </c>
      <c r="AE126" s="256">
        <f>SUMIFS('F3 - Relevé du personnel'!$P$4:$P$281,'F3 - Relevé du personnel'!$D$4:$D$281,$V126,'F3 - Relevé du personnel'!$C$4:$C$281,'F0 - Données générales'!$K$31,'F3 - Relevé du personnel'!$B$4:$B$281,"8.3")</f>
        <v>0</v>
      </c>
      <c r="AF126" s="256">
        <f>SUMIFS('F3 - Relevé du personnel'!$Q$4:$Q$281,'F3 - Relevé du personnel'!$D$4:$D$281,$V126,'F3 - Relevé du personnel'!$C$4:$C$281,'F0 - Données générales'!$K$31,'F3 - Relevé du personnel'!$B$4:$B$281,"8.3")</f>
        <v>0</v>
      </c>
      <c r="AG126" s="182">
        <f t="shared" si="73"/>
        <v>0</v>
      </c>
      <c r="AH126" s="197" t="str">
        <f t="shared" si="74"/>
        <v/>
      </c>
      <c r="AI126" s="198" t="str">
        <f>IF(Y126=0,"",(SUMPRODUCT(($D$4:$D$253=V126)*($C$4:$C$253='F0 - Données générales'!$K$31)*($E$4:$E$253)*($F$4:$F$253)*($B$4:$B$253="8.3"))+SUMPRODUCT(($D$257:$D$281=V126)*($C$257:$C$281='F0 - Données générales'!$K$31)*($B$257:$B$281="8.3")*($E$257:$E$281)*($F$257:$F$281)))/(SUMIFS('F3 - Relevé du personnel'!$E$4:$E$281,'F3 - Relevé du personnel'!$D$4:$D$281,$V126,'F3 - Relevé du personnel'!$C$4:$C$281,'F0 - Données générales'!$K$31,'F3 - Relevé du personnel'!$B$4:$B$281,"8.3")))</f>
        <v/>
      </c>
      <c r="AK126" s="742" t="s">
        <v>79</v>
      </c>
      <c r="AL126" s="742"/>
      <c r="AM126" s="26" t="s">
        <v>277</v>
      </c>
      <c r="AN126" s="741"/>
      <c r="AO126" s="741"/>
      <c r="AP126" s="181">
        <f>SUMIFS('F3 - Relevé du personnel'!$E$4:$E$281,'F3 - Relevé du personnel'!$D$4:$D$281,$AM126,'F3 - Relevé du personnel'!$C$4:$C$281,'F0 - Données générales'!$K$31,'F3 - Relevé du personnel'!$B$4:$B$281,"0-3 ans")</f>
        <v>0</v>
      </c>
      <c r="AQ126" s="181">
        <f>SUMIFS('F3 - Relevé du personnel'!$H$4:$H$281,'F3 - Relevé du personnel'!$D$4:$D$281,$AM126,'F3 - Relevé du personnel'!$C$4:$C$281,'F0 - Données générales'!$K$31,'F3 - Relevé du personnel'!$B$4:$B$281,"0-3 ans")</f>
        <v>0</v>
      </c>
      <c r="AR126" s="256">
        <f>SUMIFS('F3 - Relevé du personnel'!$I$4:$I$281,'F3 - Relevé du personnel'!$D$4:$D$281,$AM126,'F3 - Relevé du personnel'!$C$4:$C$281,'F0 - Données générales'!$K$31,'F3 - Relevé du personnel'!$B$4:$B$281,"0-3 ans")</f>
        <v>0</v>
      </c>
      <c r="AS126" s="256">
        <f>SUMIFS('F3 - Relevé du personnel'!$M$4:$M$281,'F3 - Relevé du personnel'!$D$4:$D$281,$AM126,'F3 - Relevé du personnel'!$C$4:$C$281,'F0 - Données générales'!$K$31,'F3 - Relevé du personnel'!$B$4:$B$281,"0-3 ans")</f>
        <v>0</v>
      </c>
      <c r="AT126" s="196">
        <f t="shared" si="85"/>
        <v>0</v>
      </c>
      <c r="AU126" s="256">
        <f>SUMIFS('F3 - Relevé du personnel'!$O$4:$O$281,'F3 - Relevé du personnel'!$D$4:$D$281,$AM126,'F3 - Relevé du personnel'!$C$4:$C$281,'F0 - Données générales'!$K$31,'F3 - Relevé du personnel'!$B$4:$B$281,"0-3 ans")</f>
        <v>0</v>
      </c>
      <c r="AV126" s="256">
        <f>SUMIFS('F3 - Relevé du personnel'!$P$4:$P$281,'F3 - Relevé du personnel'!$D$4:$D$281,$AM126,'F3 - Relevé du personnel'!$C$4:$C$281,'F0 - Données générales'!$K$31,'F3 - Relevé du personnel'!$B$4:$B$281,"0-3 ans")</f>
        <v>0</v>
      </c>
      <c r="AW126" s="256">
        <f>SUMIFS('F3 - Relevé du personnel'!$Q$4:$Q$281,'F3 - Relevé du personnel'!$D$4:$D$281,$AM126,'F3 - Relevé du personnel'!$C$4:$C$281,'F0 - Données générales'!$K$31,'F3 - Relevé du personnel'!$B$4:$B$281,"0-3 ans")</f>
        <v>0</v>
      </c>
      <c r="AX126" s="182">
        <f t="shared" si="86"/>
        <v>0</v>
      </c>
      <c r="AY126" s="197" t="str">
        <f t="shared" si="79"/>
        <v/>
      </c>
      <c r="AZ126" s="198" t="str">
        <f>IF(AP126=0,"",(SUMPRODUCT(($D$4:$D$253=AM126)*($C$4:$C$253='F0 - Données générales'!$K$31)*($E$4:$E$253)*($F$4:$F$253)*($B$4:$B$253="0-3 ans"))+SUMPRODUCT(($D$257:$D$281=AM126)*($C$257:$C$281='F0 - Données générales'!$K$31)*($B$257:$B$281="0-3 ans")*($E$257:$E$281)*($F$257:$F$281)))/(SUMIFS('F3 - Relevé du personnel'!$E$4:$E$281,'F3 - Relevé du personnel'!$D$4:$D$281,$AM126,'F3 - Relevé du personnel'!$C$4:$C$281,'F0 - Données générales'!$K$31,'F3 - Relevé du personnel'!$B$4:$B$281,"0-3 ans")))</f>
        <v/>
      </c>
      <c r="BB126" s="760" t="s">
        <v>65</v>
      </c>
      <c r="BC126" s="761"/>
      <c r="BD126" s="13" t="s">
        <v>74</v>
      </c>
      <c r="BE126" s="758" t="s">
        <v>75</v>
      </c>
      <c r="BF126" s="759"/>
      <c r="BG126" s="45">
        <f>SUMIFS('F3 - Relevé du personnel'!$E$4:$E$281,'F3 - Relevé du personnel'!$D$4:$D$281,$BD126,'F3 - Relevé du personnel'!$C$4:$C$281,'F0 - Données générales'!$K$34)</f>
        <v>0</v>
      </c>
      <c r="BH126" s="259">
        <f>SUMIFS('F3 - Relevé du personnel'!$I$4:$I$281,'F3 - Relevé du personnel'!$D$4:$D$281,$BD126,'F3 - Relevé du personnel'!$C$4:$C$281,'F0 - Données générales'!$K$34)</f>
        <v>0</v>
      </c>
      <c r="BI126" s="259">
        <f>SUMIFS('F3 - Relevé du personnel'!$M$4:$M$281,'F3 - Relevé du personnel'!$D$4:$D$281,$BD126,'F3 - Relevé du personnel'!$C$4:$C$281,'F0 - Données générales'!$K$34)</f>
        <v>0</v>
      </c>
      <c r="BJ126" s="189">
        <f t="shared" si="82"/>
        <v>0</v>
      </c>
      <c r="BK126" s="259">
        <f>SUMIFS('F3 - Relevé du personnel'!$O$4:$O$281,'F3 - Relevé du personnel'!$D$4:$D$281,$BD126,'F3 - Relevé du personnel'!$C$4:$C$281,'F0 - Données générales'!$K$34)</f>
        <v>0</v>
      </c>
      <c r="BL126" s="259">
        <f>SUMIFS('F3 - Relevé du personnel'!$P$4:$P$281,'F3 - Relevé du personnel'!$D$4:$D$281,$BD126,'F3 - Relevé du personnel'!$C$4:$C$281,'F0 - Données générales'!$K$34)</f>
        <v>0</v>
      </c>
      <c r="BM126" s="259">
        <f>SUMIFS('F3 - Relevé du personnel'!$Q$4:$Q$281,'F3 - Relevé du personnel'!$D$4:$D$281,$BD126,'F3 - Relevé du personnel'!$C$4:$C$281,'F0 - Données générales'!$K$34)</f>
        <v>0</v>
      </c>
      <c r="BN126" s="48">
        <f t="shared" si="83"/>
        <v>0</v>
      </c>
      <c r="BO126" s="187" t="str">
        <f t="shared" si="84"/>
        <v/>
      </c>
      <c r="BP126" s="188" t="str">
        <f>IF(BG126=0,"",(SUMPRODUCT(($D$4:$D$253=BD126)*($C$4:$C$253='F0 - Données générales'!$K$34)*($E$4:$E$253)*($F$4:$F$253))+SUMPRODUCT(($D$257:$D$281=BD126)*($C$257:$C$281='F0 - Données générales'!$K$34)*($E$257:$E$281)*($F$257:$F$281)))/(SUMIFS('F3 - Relevé du personnel'!$E$4:$E$281,'F3 - Relevé du personnel'!$D$4:$D$281,$BD126,'F3 - Relevé du personnel'!$C$4:$C$281,'F0 - Données générales'!$K$34)))</f>
        <v/>
      </c>
      <c r="BU126" s="14"/>
      <c r="BV126" s="14"/>
    </row>
    <row r="127" spans="1:74" ht="15" customHeight="1" x14ac:dyDescent="0.3">
      <c r="A127" s="106">
        <v>124</v>
      </c>
      <c r="B127" s="324">
        <f>'F0 - Données générales'!$C$4</f>
        <v>7</v>
      </c>
      <c r="C127" s="106" t="s">
        <v>95</v>
      </c>
      <c r="D127" s="106"/>
      <c r="E127" s="107"/>
      <c r="F127" s="108"/>
      <c r="G127" s="109"/>
      <c r="H127" s="110">
        <f t="shared" si="47"/>
        <v>0</v>
      </c>
      <c r="I127" s="177"/>
      <c r="J127" s="118" t="str">
        <f>IF(OR(D127="",F127=""),"",(((HLOOKUP(D127,'Carrières et points'!$A$20:$AD$60,F127+2,FALSE)*'Carrières et points'!$C$7*'Carrières et points'!$C$9)+(HLOOKUP(D127,'Carrières et points'!$A$20:$AD$60,F127+2,FALSE)*'Carrières et points'!$C$13*'Carrières et points'!$C$15))*(1+'F0 - Données générales'!$I$4)+((HLOOKUP(D127,'Carrières et points'!$A$20:$AD$60,F127+2,FALSE)*'Carrières et points'!$C$7*'Carrières et points'!$C$9)+(HLOOKUP(D127,'Carrières et points'!$A$20:$AD$60,F127+2,FALSE)*'Carrières et points'!$C$13*'Carrières et points'!$C$15))/12*(1+'F0 - Données générales'!$L$13))*E127)</f>
        <v/>
      </c>
      <c r="K127" s="118" t="str">
        <f t="shared" si="48"/>
        <v/>
      </c>
      <c r="L127" s="109"/>
      <c r="M127" s="177"/>
      <c r="N127" s="118" t="str">
        <f t="shared" si="49"/>
        <v/>
      </c>
      <c r="O127" s="177"/>
      <c r="P127" s="177"/>
      <c r="Q127" s="177"/>
      <c r="R127" s="255" t="str">
        <f t="shared" si="50"/>
        <v/>
      </c>
      <c r="S127" s="120"/>
      <c r="T127" s="742" t="s">
        <v>65</v>
      </c>
      <c r="U127" s="742"/>
      <c r="V127" s="26" t="s">
        <v>278</v>
      </c>
      <c r="W127" s="741"/>
      <c r="X127" s="741"/>
      <c r="Y127" s="181">
        <f>SUMIFS('F3 - Relevé du personnel'!$E$4:$E$281,'F3 - Relevé du personnel'!$D$4:$D$281,$V127,'F3 - Relevé du personnel'!$C$4:$C$281,'F0 - Données générales'!$K$31,'F3 - Relevé du personnel'!$B$4:$B$281,"8.3")</f>
        <v>0</v>
      </c>
      <c r="Z127" s="181">
        <f>SUMIFS('F3 - Relevé du personnel'!$H$4:$H$281,'F3 - Relevé du personnel'!$D$4:$D$281,$V127,'F3 - Relevé du personnel'!$C$4:$C$281,'F0 - Données générales'!$K$31,'F3 - Relevé du personnel'!$B$4:$B$281,"8.3")</f>
        <v>0</v>
      </c>
      <c r="AA127" s="256">
        <f>SUMIFS('F3 - Relevé du personnel'!$I$4:$I$281,'F3 - Relevé du personnel'!$D$4:$D$281,$V127,'F3 - Relevé du personnel'!$C$4:$C$281,'F0 - Données générales'!$K$31,'F3 - Relevé du personnel'!$B$4:$B$281,"8.3")</f>
        <v>0</v>
      </c>
      <c r="AB127" s="256">
        <f>SUMIFS('F3 - Relevé du personnel'!$M$4:$M$281,'F3 - Relevé du personnel'!$D$4:$D$281,$V127,'F3 - Relevé du personnel'!$C$4:$C$281,'F0 - Données générales'!$K$31,'F3 - Relevé du personnel'!$B$4:$B$281,"8.3")</f>
        <v>0</v>
      </c>
      <c r="AC127" s="196">
        <f t="shared" si="72"/>
        <v>0</v>
      </c>
      <c r="AD127" s="256">
        <f>SUMIFS('F3 - Relevé du personnel'!$O$4:$O$281,'F3 - Relevé du personnel'!$D$4:$D$281,$V127,'F3 - Relevé du personnel'!$C$4:$C$281,'F0 - Données générales'!$K$31,'F3 - Relevé du personnel'!$B$4:$B$281,"8.3")</f>
        <v>0</v>
      </c>
      <c r="AE127" s="256">
        <f>SUMIFS('F3 - Relevé du personnel'!$P$4:$P$281,'F3 - Relevé du personnel'!$D$4:$D$281,$V127,'F3 - Relevé du personnel'!$C$4:$C$281,'F0 - Données générales'!$K$31,'F3 - Relevé du personnel'!$B$4:$B$281,"8.3")</f>
        <v>0</v>
      </c>
      <c r="AF127" s="256">
        <f>SUMIFS('F3 - Relevé du personnel'!$Q$4:$Q$281,'F3 - Relevé du personnel'!$D$4:$D$281,$V127,'F3 - Relevé du personnel'!$C$4:$C$281,'F0 - Données générales'!$K$31,'F3 - Relevé du personnel'!$B$4:$B$281,"8.3")</f>
        <v>0</v>
      </c>
      <c r="AG127" s="182">
        <f t="shared" si="73"/>
        <v>0</v>
      </c>
      <c r="AH127" s="197" t="str">
        <f t="shared" si="74"/>
        <v/>
      </c>
      <c r="AI127" s="198" t="str">
        <f>IF(Y127=0,"",(SUMPRODUCT(($D$4:$D$253=V127)*($C$4:$C$253='F0 - Données générales'!$K$31)*($E$4:$E$253)*($F$4:$F$253)*($B$4:$B$253="8.3"))+SUMPRODUCT(($D$257:$D$281=V127)*($C$257:$C$281='F0 - Données générales'!$K$31)*($B$257:$B$281="8.3")*($E$257:$E$281)*($F$257:$F$281)))/(SUMIFS('F3 - Relevé du personnel'!$E$4:$E$281,'F3 - Relevé du personnel'!$D$4:$D$281,$V127,'F3 - Relevé du personnel'!$C$4:$C$281,'F0 - Données générales'!$K$31,'F3 - Relevé du personnel'!$B$4:$B$281,"8.3")))</f>
        <v/>
      </c>
      <c r="AK127" s="742" t="s">
        <v>65</v>
      </c>
      <c r="AL127" s="742"/>
      <c r="AM127" s="26" t="s">
        <v>278</v>
      </c>
      <c r="AN127" s="741"/>
      <c r="AO127" s="741"/>
      <c r="AP127" s="181">
        <f>SUMIFS('F3 - Relevé du personnel'!$E$4:$E$281,'F3 - Relevé du personnel'!$D$4:$D$281,$AM127,'F3 - Relevé du personnel'!$C$4:$C$281,'F0 - Données générales'!$K$31,'F3 - Relevé du personnel'!$B$4:$B$281,"0-3 ans")</f>
        <v>0</v>
      </c>
      <c r="AQ127" s="181">
        <f>SUMIFS('F3 - Relevé du personnel'!$H$4:$H$281,'F3 - Relevé du personnel'!$D$4:$D$281,$AM127,'F3 - Relevé du personnel'!$C$4:$C$281,'F0 - Données générales'!$K$31,'F3 - Relevé du personnel'!$B$4:$B$281,"0-3 ans")</f>
        <v>0</v>
      </c>
      <c r="AR127" s="256">
        <f>SUMIFS('F3 - Relevé du personnel'!$I$4:$I$281,'F3 - Relevé du personnel'!$D$4:$D$281,$AM127,'F3 - Relevé du personnel'!$C$4:$C$281,'F0 - Données générales'!$K$31,'F3 - Relevé du personnel'!$B$4:$B$281,"0-3 ans")</f>
        <v>0</v>
      </c>
      <c r="AS127" s="256">
        <f>SUMIFS('F3 - Relevé du personnel'!$M$4:$M$281,'F3 - Relevé du personnel'!$D$4:$D$281,$AM127,'F3 - Relevé du personnel'!$C$4:$C$281,'F0 - Données générales'!$K$31,'F3 - Relevé du personnel'!$B$4:$B$281,"0-3 ans")</f>
        <v>0</v>
      </c>
      <c r="AT127" s="196">
        <f t="shared" si="85"/>
        <v>0</v>
      </c>
      <c r="AU127" s="256">
        <f>SUMIFS('F3 - Relevé du personnel'!$O$4:$O$281,'F3 - Relevé du personnel'!$D$4:$D$281,$AM127,'F3 - Relevé du personnel'!$C$4:$C$281,'F0 - Données générales'!$K$31,'F3 - Relevé du personnel'!$B$4:$B$281,"0-3 ans")</f>
        <v>0</v>
      </c>
      <c r="AV127" s="256">
        <f>SUMIFS('F3 - Relevé du personnel'!$P$4:$P$281,'F3 - Relevé du personnel'!$D$4:$D$281,$AM127,'F3 - Relevé du personnel'!$C$4:$C$281,'F0 - Données générales'!$K$31,'F3 - Relevé du personnel'!$B$4:$B$281,"0-3 ans")</f>
        <v>0</v>
      </c>
      <c r="AW127" s="256">
        <f>SUMIFS('F3 - Relevé du personnel'!$Q$4:$Q$281,'F3 - Relevé du personnel'!$D$4:$D$281,$AM127,'F3 - Relevé du personnel'!$C$4:$C$281,'F0 - Données générales'!$K$31,'F3 - Relevé du personnel'!$B$4:$B$281,"0-3 ans")</f>
        <v>0</v>
      </c>
      <c r="AX127" s="182">
        <f t="shared" si="86"/>
        <v>0</v>
      </c>
      <c r="AY127" s="197" t="str">
        <f t="shared" si="79"/>
        <v/>
      </c>
      <c r="AZ127" s="198" t="str">
        <f>IF(AP127=0,"",(SUMPRODUCT(($D$4:$D$253=AM127)*($C$4:$C$253='F0 - Données générales'!$K$31)*($E$4:$E$253)*($F$4:$F$253)*($B$4:$B$253="0-3 ans"))+SUMPRODUCT(($D$257:$D$281=AM127)*($C$257:$C$281='F0 - Données générales'!$K$31)*($B$257:$B$281="0-3 ans")*($E$257:$E$281)*($F$257:$F$281)))/(SUMIFS('F3 - Relevé du personnel'!$E$4:$E$281,'F3 - Relevé du personnel'!$D$4:$D$281,$AM127,'F3 - Relevé du personnel'!$C$4:$C$281,'F0 - Données générales'!$K$31,'F3 - Relevé du personnel'!$B$4:$B$281,"0-3 ans")))</f>
        <v/>
      </c>
      <c r="BB127" s="760" t="s">
        <v>65</v>
      </c>
      <c r="BC127" s="761"/>
      <c r="BD127" s="13" t="s">
        <v>76</v>
      </c>
      <c r="BE127" s="758" t="s">
        <v>77</v>
      </c>
      <c r="BF127" s="759"/>
      <c r="BG127" s="45">
        <f>SUMIFS('F3 - Relevé du personnel'!$E$4:$E$281,'F3 - Relevé du personnel'!$D$4:$D$281,$BD127,'F3 - Relevé du personnel'!$C$4:$C$281,'F0 - Données générales'!$K$34)</f>
        <v>0</v>
      </c>
      <c r="BH127" s="259">
        <f>SUMIFS('F3 - Relevé du personnel'!$I$4:$I$281,'F3 - Relevé du personnel'!$D$4:$D$281,$BD127,'F3 - Relevé du personnel'!$C$4:$C$281,'F0 - Données générales'!$K$34)</f>
        <v>0</v>
      </c>
      <c r="BI127" s="259">
        <f>SUMIFS('F3 - Relevé du personnel'!$M$4:$M$281,'F3 - Relevé du personnel'!$D$4:$D$281,$BD127,'F3 - Relevé du personnel'!$C$4:$C$281,'F0 - Données générales'!$K$34)</f>
        <v>0</v>
      </c>
      <c r="BJ127" s="189">
        <f t="shared" si="82"/>
        <v>0</v>
      </c>
      <c r="BK127" s="259">
        <f>SUMIFS('F3 - Relevé du personnel'!$O$4:$O$281,'F3 - Relevé du personnel'!$D$4:$D$281,$BD127,'F3 - Relevé du personnel'!$C$4:$C$281,'F0 - Données générales'!$K$34)</f>
        <v>0</v>
      </c>
      <c r="BL127" s="259">
        <f>SUMIFS('F3 - Relevé du personnel'!$P$4:$P$281,'F3 - Relevé du personnel'!$D$4:$D$281,$BD127,'F3 - Relevé du personnel'!$C$4:$C$281,'F0 - Données générales'!$K$34)</f>
        <v>0</v>
      </c>
      <c r="BM127" s="259">
        <f>SUMIFS('F3 - Relevé du personnel'!$Q$4:$Q$281,'F3 - Relevé du personnel'!$D$4:$D$281,$BD127,'F3 - Relevé du personnel'!$C$4:$C$281,'F0 - Données générales'!$K$34)</f>
        <v>0</v>
      </c>
      <c r="BN127" s="48">
        <f t="shared" si="83"/>
        <v>0</v>
      </c>
      <c r="BO127" s="187" t="str">
        <f t="shared" si="84"/>
        <v/>
      </c>
      <c r="BP127" s="188" t="str">
        <f>IF(BG127=0,"",(SUMPRODUCT(($D$4:$D$253=BD127)*($C$4:$C$253='F0 - Données générales'!$K$34)*($E$4:$E$253)*($F$4:$F$253))+SUMPRODUCT(($D$257:$D$281=BD127)*($C$257:$C$281='F0 - Données générales'!$K$34)*($E$257:$E$281)*($F$257:$F$281)))/(SUMIFS('F3 - Relevé du personnel'!$E$4:$E$281,'F3 - Relevé du personnel'!$D$4:$D$281,$BD127,'F3 - Relevé du personnel'!$C$4:$C$281,'F0 - Données générales'!$K$34)))</f>
        <v/>
      </c>
      <c r="BS127" s="14"/>
      <c r="BT127" s="14"/>
      <c r="BU127" s="14"/>
      <c r="BV127" s="14"/>
    </row>
    <row r="128" spans="1:74" ht="15" customHeight="1" x14ac:dyDescent="0.3">
      <c r="A128" s="106">
        <v>125</v>
      </c>
      <c r="B128" s="324">
        <f>'F0 - Données générales'!$C$4</f>
        <v>7</v>
      </c>
      <c r="C128" s="106" t="s">
        <v>95</v>
      </c>
      <c r="D128" s="106"/>
      <c r="E128" s="107"/>
      <c r="F128" s="108"/>
      <c r="G128" s="109"/>
      <c r="H128" s="110">
        <f t="shared" si="47"/>
        <v>0</v>
      </c>
      <c r="I128" s="177"/>
      <c r="J128" s="118" t="str">
        <f>IF(OR(D128="",F128=""),"",(((HLOOKUP(D128,'Carrières et points'!$A$20:$AD$60,F128+2,FALSE)*'Carrières et points'!$C$7*'Carrières et points'!$C$9)+(HLOOKUP(D128,'Carrières et points'!$A$20:$AD$60,F128+2,FALSE)*'Carrières et points'!$C$13*'Carrières et points'!$C$15))*(1+'F0 - Données générales'!$I$4)+((HLOOKUP(D128,'Carrières et points'!$A$20:$AD$60,F128+2,FALSE)*'Carrières et points'!$C$7*'Carrières et points'!$C$9)+(HLOOKUP(D128,'Carrières et points'!$A$20:$AD$60,F128+2,FALSE)*'Carrières et points'!$C$13*'Carrières et points'!$C$15))/12*(1+'F0 - Données générales'!$L$13))*E128)</f>
        <v/>
      </c>
      <c r="K128" s="118" t="str">
        <f t="shared" si="48"/>
        <v/>
      </c>
      <c r="L128" s="109"/>
      <c r="M128" s="177"/>
      <c r="N128" s="118" t="str">
        <f t="shared" si="49"/>
        <v/>
      </c>
      <c r="O128" s="177"/>
      <c r="P128" s="177"/>
      <c r="Q128" s="177"/>
      <c r="R128" s="255" t="str">
        <f t="shared" si="50"/>
        <v/>
      </c>
      <c r="S128" s="120"/>
      <c r="T128" s="742" t="s">
        <v>79</v>
      </c>
      <c r="U128" s="742"/>
      <c r="V128" s="26" t="s">
        <v>279</v>
      </c>
      <c r="W128" s="741"/>
      <c r="X128" s="741"/>
      <c r="Y128" s="181">
        <f>SUMIFS('F3 - Relevé du personnel'!$E$4:$E$281,'F3 - Relevé du personnel'!$D$4:$D$281,$V128,'F3 - Relevé du personnel'!$C$4:$C$281,'F0 - Données générales'!$K$31,'F3 - Relevé du personnel'!$B$4:$B$281,"8.3")</f>
        <v>0</v>
      </c>
      <c r="Z128" s="181">
        <f>SUMIFS('F3 - Relevé du personnel'!$H$4:$H$281,'F3 - Relevé du personnel'!$D$4:$D$281,$V128,'F3 - Relevé du personnel'!$C$4:$C$281,'F0 - Données générales'!$K$31,'F3 - Relevé du personnel'!$B$4:$B$281,"8.3")</f>
        <v>0</v>
      </c>
      <c r="AA128" s="256">
        <f>SUMIFS('F3 - Relevé du personnel'!$I$4:$I$281,'F3 - Relevé du personnel'!$D$4:$D$281,$V128,'F3 - Relevé du personnel'!$C$4:$C$281,'F0 - Données générales'!$K$31,'F3 - Relevé du personnel'!$B$4:$B$281,"8.3")</f>
        <v>0</v>
      </c>
      <c r="AB128" s="256">
        <f>SUMIFS('F3 - Relevé du personnel'!$M$4:$M$281,'F3 - Relevé du personnel'!$D$4:$D$281,$V128,'F3 - Relevé du personnel'!$C$4:$C$281,'F0 - Données générales'!$K$31,'F3 - Relevé du personnel'!$B$4:$B$281,"8.3")</f>
        <v>0</v>
      </c>
      <c r="AC128" s="196">
        <f t="shared" si="72"/>
        <v>0</v>
      </c>
      <c r="AD128" s="256">
        <f>SUMIFS('F3 - Relevé du personnel'!$O$4:$O$281,'F3 - Relevé du personnel'!$D$4:$D$281,$V128,'F3 - Relevé du personnel'!$C$4:$C$281,'F0 - Données générales'!$K$31,'F3 - Relevé du personnel'!$B$4:$B$281,"8.3")</f>
        <v>0</v>
      </c>
      <c r="AE128" s="256">
        <f>SUMIFS('F3 - Relevé du personnel'!$P$4:$P$281,'F3 - Relevé du personnel'!$D$4:$D$281,$V128,'F3 - Relevé du personnel'!$C$4:$C$281,'F0 - Données générales'!$K$31,'F3 - Relevé du personnel'!$B$4:$B$281,"8.3")</f>
        <v>0</v>
      </c>
      <c r="AF128" s="256">
        <f>SUMIFS('F3 - Relevé du personnel'!$Q$4:$Q$281,'F3 - Relevé du personnel'!$D$4:$D$281,$V128,'F3 - Relevé du personnel'!$C$4:$C$281,'F0 - Données générales'!$K$31,'F3 - Relevé du personnel'!$B$4:$B$281,"8.3")</f>
        <v>0</v>
      </c>
      <c r="AG128" s="182">
        <f t="shared" si="73"/>
        <v>0</v>
      </c>
      <c r="AH128" s="197" t="str">
        <f t="shared" si="74"/>
        <v/>
      </c>
      <c r="AI128" s="198" t="str">
        <f>IF(Y128=0,"",(SUMPRODUCT(($D$4:$D$253=V128)*($C$4:$C$253='F0 - Données générales'!$K$31)*($E$4:$E$253)*($F$4:$F$253)*($B$4:$B$253="8.3"))+SUMPRODUCT(($D$257:$D$281=V128)*($C$257:$C$281='F0 - Données générales'!$K$31)*($B$257:$B$281="8.3")*($E$257:$E$281)*($F$257:$F$281)))/(SUMIFS('F3 - Relevé du personnel'!$E$4:$E$281,'F3 - Relevé du personnel'!$D$4:$D$281,$V128,'F3 - Relevé du personnel'!$C$4:$C$281,'F0 - Données générales'!$K$31,'F3 - Relevé du personnel'!$B$4:$B$281,"8.3")))</f>
        <v/>
      </c>
      <c r="AK128" s="742" t="s">
        <v>79</v>
      </c>
      <c r="AL128" s="742"/>
      <c r="AM128" s="26" t="s">
        <v>279</v>
      </c>
      <c r="AN128" s="741"/>
      <c r="AO128" s="741"/>
      <c r="AP128" s="181">
        <f>SUMIFS('F3 - Relevé du personnel'!$E$4:$E$281,'F3 - Relevé du personnel'!$D$4:$D$281,$AM128,'F3 - Relevé du personnel'!$C$4:$C$281,'F0 - Données générales'!$K$31,'F3 - Relevé du personnel'!$B$4:$B$281,"0-3 ans")</f>
        <v>0</v>
      </c>
      <c r="AQ128" s="181">
        <f>SUMIFS('F3 - Relevé du personnel'!$H$4:$H$281,'F3 - Relevé du personnel'!$D$4:$D$281,$AM128,'F3 - Relevé du personnel'!$C$4:$C$281,'F0 - Données générales'!$K$31,'F3 - Relevé du personnel'!$B$4:$B$281,"0-3 ans")</f>
        <v>0</v>
      </c>
      <c r="AR128" s="256">
        <f>SUMIFS('F3 - Relevé du personnel'!$I$4:$I$281,'F3 - Relevé du personnel'!$D$4:$D$281,$AM128,'F3 - Relevé du personnel'!$C$4:$C$281,'F0 - Données générales'!$K$31,'F3 - Relevé du personnel'!$B$4:$B$281,"0-3 ans")</f>
        <v>0</v>
      </c>
      <c r="AS128" s="256">
        <f>SUMIFS('F3 - Relevé du personnel'!$M$4:$M$281,'F3 - Relevé du personnel'!$D$4:$D$281,$AM128,'F3 - Relevé du personnel'!$C$4:$C$281,'F0 - Données générales'!$K$31,'F3 - Relevé du personnel'!$B$4:$B$281,"0-3 ans")</f>
        <v>0</v>
      </c>
      <c r="AT128" s="196">
        <f t="shared" si="85"/>
        <v>0</v>
      </c>
      <c r="AU128" s="256">
        <f>SUMIFS('F3 - Relevé du personnel'!$O$4:$O$281,'F3 - Relevé du personnel'!$D$4:$D$281,$AM128,'F3 - Relevé du personnel'!$C$4:$C$281,'F0 - Données générales'!$K$31,'F3 - Relevé du personnel'!$B$4:$B$281,"0-3 ans")</f>
        <v>0</v>
      </c>
      <c r="AV128" s="256">
        <f>SUMIFS('F3 - Relevé du personnel'!$P$4:$P$281,'F3 - Relevé du personnel'!$D$4:$D$281,$AM128,'F3 - Relevé du personnel'!$C$4:$C$281,'F0 - Données générales'!$K$31,'F3 - Relevé du personnel'!$B$4:$B$281,"0-3 ans")</f>
        <v>0</v>
      </c>
      <c r="AW128" s="256">
        <f>SUMIFS('F3 - Relevé du personnel'!$Q$4:$Q$281,'F3 - Relevé du personnel'!$D$4:$D$281,$AM128,'F3 - Relevé du personnel'!$C$4:$C$281,'F0 - Données générales'!$K$31,'F3 - Relevé du personnel'!$B$4:$B$281,"0-3 ans")</f>
        <v>0</v>
      </c>
      <c r="AX128" s="182">
        <f t="shared" si="86"/>
        <v>0</v>
      </c>
      <c r="AY128" s="197" t="str">
        <f t="shared" si="79"/>
        <v/>
      </c>
      <c r="AZ128" s="198" t="str">
        <f>IF(AP128=0,"",(SUMPRODUCT(($D$4:$D$253=AM128)*($C$4:$C$253='F0 - Données générales'!$K$31)*($E$4:$E$253)*($F$4:$F$253)*($B$4:$B$253="0-3 ans"))+SUMPRODUCT(($D$257:$D$281=AM128)*($C$257:$C$281='F0 - Données générales'!$K$31)*($B$257:$B$281="0-3 ans")*($E$257:$E$281)*($F$257:$F$281)))/(SUMIFS('F3 - Relevé du personnel'!$E$4:$E$281,'F3 - Relevé du personnel'!$D$4:$D$281,$AM128,'F3 - Relevé du personnel'!$C$4:$C$281,'F0 - Données générales'!$K$31,'F3 - Relevé du personnel'!$B$4:$B$281,"0-3 ans")))</f>
        <v/>
      </c>
      <c r="BB128" s="760" t="s">
        <v>65</v>
      </c>
      <c r="BC128" s="761"/>
      <c r="BD128" s="13" t="s">
        <v>252</v>
      </c>
      <c r="BE128" s="758" t="s">
        <v>78</v>
      </c>
      <c r="BF128" s="759"/>
      <c r="BG128" s="45">
        <f>SUMIFS('F3 - Relevé du personnel'!$E$4:$E$281,'F3 - Relevé du personnel'!$D$4:$D$281,$BD128,'F3 - Relevé du personnel'!$C$4:$C$281,'F0 - Données générales'!$K$34)</f>
        <v>0</v>
      </c>
      <c r="BH128" s="259">
        <f>SUMIFS('F3 - Relevé du personnel'!$I$4:$I$281,'F3 - Relevé du personnel'!$D$4:$D$281,$BD128,'F3 - Relevé du personnel'!$C$4:$C$281,'F0 - Données générales'!$K$34)</f>
        <v>0</v>
      </c>
      <c r="BI128" s="259">
        <f>SUMIFS('F3 - Relevé du personnel'!$M$4:$M$281,'F3 - Relevé du personnel'!$D$4:$D$281,$BD128,'F3 - Relevé du personnel'!$C$4:$C$281,'F0 - Données générales'!$K$34)</f>
        <v>0</v>
      </c>
      <c r="BJ128" s="189">
        <f t="shared" si="82"/>
        <v>0</v>
      </c>
      <c r="BK128" s="259">
        <f>SUMIFS('F3 - Relevé du personnel'!$O$4:$O$281,'F3 - Relevé du personnel'!$D$4:$D$281,$BD128,'F3 - Relevé du personnel'!$C$4:$C$281,'F0 - Données générales'!$K$34)</f>
        <v>0</v>
      </c>
      <c r="BL128" s="259">
        <f>SUMIFS('F3 - Relevé du personnel'!$P$4:$P$281,'F3 - Relevé du personnel'!$D$4:$D$281,$BD128,'F3 - Relevé du personnel'!$C$4:$C$281,'F0 - Données générales'!$K$34)</f>
        <v>0</v>
      </c>
      <c r="BM128" s="259">
        <f>SUMIFS('F3 - Relevé du personnel'!$Q$4:$Q$281,'F3 - Relevé du personnel'!$D$4:$D$281,$BD128,'F3 - Relevé du personnel'!$C$4:$C$281,'F0 - Données générales'!$K$34)</f>
        <v>0</v>
      </c>
      <c r="BN128" s="48">
        <f t="shared" si="83"/>
        <v>0</v>
      </c>
      <c r="BO128" s="187" t="str">
        <f t="shared" si="84"/>
        <v/>
      </c>
      <c r="BP128" s="188" t="str">
        <f>IF(BG128=0,"",(SUMPRODUCT(($D$4:$D$253=BD128)*($C$4:$C$253='F0 - Données générales'!$K$34)*($E$4:$E$253)*($F$4:$F$253))+SUMPRODUCT(($D$257:$D$281=BD128)*($C$257:$C$281='F0 - Données générales'!$K$34)*($E$257:$E$281)*($F$257:$F$281)))/(SUMIFS('F3 - Relevé du personnel'!$E$4:$E$281,'F3 - Relevé du personnel'!$D$4:$D$281,$BD128,'F3 - Relevé du personnel'!$C$4:$C$281,'F0 - Données générales'!$K$34)))</f>
        <v/>
      </c>
      <c r="BS128" s="14"/>
      <c r="BT128" s="14"/>
      <c r="BU128" s="14"/>
      <c r="BV128" s="14"/>
    </row>
    <row r="129" spans="1:74" ht="15" customHeight="1" x14ac:dyDescent="0.3">
      <c r="A129" s="106">
        <v>126</v>
      </c>
      <c r="B129" s="324">
        <f>'F0 - Données générales'!$C$4</f>
        <v>7</v>
      </c>
      <c r="C129" s="106" t="s">
        <v>95</v>
      </c>
      <c r="D129" s="106"/>
      <c r="E129" s="107"/>
      <c r="F129" s="108"/>
      <c r="G129" s="109"/>
      <c r="H129" s="110">
        <f t="shared" si="47"/>
        <v>0</v>
      </c>
      <c r="I129" s="177"/>
      <c r="J129" s="118" t="str">
        <f>IF(OR(D129="",F129=""),"",(((HLOOKUP(D129,'Carrières et points'!$A$20:$AD$60,F129+2,FALSE)*'Carrières et points'!$C$7*'Carrières et points'!$C$9)+(HLOOKUP(D129,'Carrières et points'!$A$20:$AD$60,F129+2,FALSE)*'Carrières et points'!$C$13*'Carrières et points'!$C$15))*(1+'F0 - Données générales'!$I$4)+((HLOOKUP(D129,'Carrières et points'!$A$20:$AD$60,F129+2,FALSE)*'Carrières et points'!$C$7*'Carrières et points'!$C$9)+(HLOOKUP(D129,'Carrières et points'!$A$20:$AD$60,F129+2,FALSE)*'Carrières et points'!$C$13*'Carrières et points'!$C$15))/12*(1+'F0 - Données générales'!$L$13))*E129)</f>
        <v/>
      </c>
      <c r="K129" s="118" t="str">
        <f t="shared" si="48"/>
        <v/>
      </c>
      <c r="L129" s="109"/>
      <c r="M129" s="177"/>
      <c r="N129" s="118" t="str">
        <f t="shared" si="49"/>
        <v/>
      </c>
      <c r="O129" s="177"/>
      <c r="P129" s="177"/>
      <c r="Q129" s="177"/>
      <c r="R129" s="255" t="str">
        <f t="shared" si="50"/>
        <v/>
      </c>
      <c r="S129" s="120"/>
      <c r="T129" s="742" t="s">
        <v>65</v>
      </c>
      <c r="U129" s="742"/>
      <c r="V129" s="26" t="s">
        <v>280</v>
      </c>
      <c r="W129" s="741"/>
      <c r="X129" s="741"/>
      <c r="Y129" s="181">
        <f>SUMIFS('F3 - Relevé du personnel'!$E$4:$E$281,'F3 - Relevé du personnel'!$D$4:$D$281,$V129,'F3 - Relevé du personnel'!$C$4:$C$281,'F0 - Données générales'!$K$31,'F3 - Relevé du personnel'!$B$4:$B$281,"8.3")</f>
        <v>0</v>
      </c>
      <c r="Z129" s="181">
        <f>SUMIFS('F3 - Relevé du personnel'!$H$4:$H$281,'F3 - Relevé du personnel'!$D$4:$D$281,$V129,'F3 - Relevé du personnel'!$C$4:$C$281,'F0 - Données générales'!$K$31,'F3 - Relevé du personnel'!$B$4:$B$281,"8.3")</f>
        <v>0</v>
      </c>
      <c r="AA129" s="256">
        <f>SUMIFS('F3 - Relevé du personnel'!$I$4:$I$281,'F3 - Relevé du personnel'!$D$4:$D$281,$V129,'F3 - Relevé du personnel'!$C$4:$C$281,'F0 - Données générales'!$K$31,'F3 - Relevé du personnel'!$B$4:$B$281,"8.3")</f>
        <v>0</v>
      </c>
      <c r="AB129" s="256">
        <f>SUMIFS('F3 - Relevé du personnel'!$M$4:$M$281,'F3 - Relevé du personnel'!$D$4:$D$281,$V129,'F3 - Relevé du personnel'!$C$4:$C$281,'F0 - Données générales'!$K$31,'F3 - Relevé du personnel'!$B$4:$B$281,"8.3")</f>
        <v>0</v>
      </c>
      <c r="AC129" s="196">
        <f t="shared" si="72"/>
        <v>0</v>
      </c>
      <c r="AD129" s="256">
        <f>SUMIFS('F3 - Relevé du personnel'!$O$4:$O$281,'F3 - Relevé du personnel'!$D$4:$D$281,$V129,'F3 - Relevé du personnel'!$C$4:$C$281,'F0 - Données générales'!$K$31,'F3 - Relevé du personnel'!$B$4:$B$281,"8.3")</f>
        <v>0</v>
      </c>
      <c r="AE129" s="256">
        <f>SUMIFS('F3 - Relevé du personnel'!$P$4:$P$281,'F3 - Relevé du personnel'!$D$4:$D$281,$V129,'F3 - Relevé du personnel'!$C$4:$C$281,'F0 - Données générales'!$K$31,'F3 - Relevé du personnel'!$B$4:$B$281,"8.3")</f>
        <v>0</v>
      </c>
      <c r="AF129" s="256">
        <f>SUMIFS('F3 - Relevé du personnel'!$Q$4:$Q$281,'F3 - Relevé du personnel'!$D$4:$D$281,$V129,'F3 - Relevé du personnel'!$C$4:$C$281,'F0 - Données générales'!$K$31,'F3 - Relevé du personnel'!$B$4:$B$281,"8.3")</f>
        <v>0</v>
      </c>
      <c r="AG129" s="182">
        <f t="shared" si="73"/>
        <v>0</v>
      </c>
      <c r="AH129" s="197" t="str">
        <f t="shared" si="74"/>
        <v/>
      </c>
      <c r="AI129" s="198" t="str">
        <f>IF(Y129=0,"",(SUMPRODUCT(($D$4:$D$253=V129)*($C$4:$C$253='F0 - Données générales'!$K$31)*($E$4:$E$253)*($F$4:$F$253)*($B$4:$B$253="8.3"))+SUMPRODUCT(($D$257:$D$281=V129)*($C$257:$C$281='F0 - Données générales'!$K$31)*($B$257:$B$281="8.3")*($E$257:$E$281)*($F$257:$F$281)))/(SUMIFS('F3 - Relevé du personnel'!$E$4:$E$281,'F3 - Relevé du personnel'!$D$4:$D$281,$V129,'F3 - Relevé du personnel'!$C$4:$C$281,'F0 - Données générales'!$K$31,'F3 - Relevé du personnel'!$B$4:$B$281,"8.3")))</f>
        <v/>
      </c>
      <c r="AK129" s="742" t="s">
        <v>65</v>
      </c>
      <c r="AL129" s="742"/>
      <c r="AM129" s="26" t="s">
        <v>280</v>
      </c>
      <c r="AN129" s="741"/>
      <c r="AO129" s="741"/>
      <c r="AP129" s="181">
        <f>SUMIFS('F3 - Relevé du personnel'!$E$4:$E$281,'F3 - Relevé du personnel'!$D$4:$D$281,$AM129,'F3 - Relevé du personnel'!$C$4:$C$281,'F0 - Données générales'!$K$31,'F3 - Relevé du personnel'!$B$4:$B$281,"0-3 ans")</f>
        <v>0</v>
      </c>
      <c r="AQ129" s="181">
        <f>SUMIFS('F3 - Relevé du personnel'!$H$4:$H$281,'F3 - Relevé du personnel'!$D$4:$D$281,$AM129,'F3 - Relevé du personnel'!$C$4:$C$281,'F0 - Données générales'!$K$31,'F3 - Relevé du personnel'!$B$4:$B$281,"0-3 ans")</f>
        <v>0</v>
      </c>
      <c r="AR129" s="256">
        <f>SUMIFS('F3 - Relevé du personnel'!$I$4:$I$281,'F3 - Relevé du personnel'!$D$4:$D$281,$AM129,'F3 - Relevé du personnel'!$C$4:$C$281,'F0 - Données générales'!$K$31,'F3 - Relevé du personnel'!$B$4:$B$281,"0-3 ans")</f>
        <v>0</v>
      </c>
      <c r="AS129" s="256">
        <f>SUMIFS('F3 - Relevé du personnel'!$M$4:$M$281,'F3 - Relevé du personnel'!$D$4:$D$281,$AM129,'F3 - Relevé du personnel'!$C$4:$C$281,'F0 - Données générales'!$K$31,'F3 - Relevé du personnel'!$B$4:$B$281,"0-3 ans")</f>
        <v>0</v>
      </c>
      <c r="AT129" s="196">
        <f t="shared" si="85"/>
        <v>0</v>
      </c>
      <c r="AU129" s="256">
        <f>SUMIFS('F3 - Relevé du personnel'!$O$4:$O$281,'F3 - Relevé du personnel'!$D$4:$D$281,$AM129,'F3 - Relevé du personnel'!$C$4:$C$281,'F0 - Données générales'!$K$31,'F3 - Relevé du personnel'!$B$4:$B$281,"0-3 ans")</f>
        <v>0</v>
      </c>
      <c r="AV129" s="256">
        <f>SUMIFS('F3 - Relevé du personnel'!$P$4:$P$281,'F3 - Relevé du personnel'!$D$4:$D$281,$AM129,'F3 - Relevé du personnel'!$C$4:$C$281,'F0 - Données générales'!$K$31,'F3 - Relevé du personnel'!$B$4:$B$281,"0-3 ans")</f>
        <v>0</v>
      </c>
      <c r="AW129" s="256">
        <f>SUMIFS('F3 - Relevé du personnel'!$Q$4:$Q$281,'F3 - Relevé du personnel'!$D$4:$D$281,$AM129,'F3 - Relevé du personnel'!$C$4:$C$281,'F0 - Données générales'!$K$31,'F3 - Relevé du personnel'!$B$4:$B$281,"0-3 ans")</f>
        <v>0</v>
      </c>
      <c r="AX129" s="182">
        <f t="shared" si="86"/>
        <v>0</v>
      </c>
      <c r="AY129" s="197" t="str">
        <f t="shared" si="79"/>
        <v/>
      </c>
      <c r="AZ129" s="198" t="str">
        <f>IF(AP129=0,"",(SUMPRODUCT(($D$4:$D$253=AM129)*($C$4:$C$253='F0 - Données générales'!$K$31)*($E$4:$E$253)*($F$4:$F$253)*($B$4:$B$253="0-3 ans"))+SUMPRODUCT(($D$257:$D$281=AM129)*($C$257:$C$281='F0 - Données générales'!$K$31)*($B$257:$B$281="0-3 ans")*($E$257:$E$281)*($F$257:$F$281)))/(SUMIFS('F3 - Relevé du personnel'!$E$4:$E$281,'F3 - Relevé du personnel'!$D$4:$D$281,$AM129,'F3 - Relevé du personnel'!$C$4:$C$281,'F0 - Données générales'!$K$31,'F3 - Relevé du personnel'!$B$4:$B$281,"0-3 ans")))</f>
        <v/>
      </c>
      <c r="BB129" s="760" t="s">
        <v>79</v>
      </c>
      <c r="BC129" s="761"/>
      <c r="BD129" s="13" t="s">
        <v>253</v>
      </c>
      <c r="BE129" s="758" t="s">
        <v>78</v>
      </c>
      <c r="BF129" s="759"/>
      <c r="BG129" s="45">
        <f>SUMIFS('F3 - Relevé du personnel'!$E$4:$E$281,'F3 - Relevé du personnel'!$D$4:$D$281,$BD129,'F3 - Relevé du personnel'!$C$4:$C$281,'F0 - Données générales'!$K$34)</f>
        <v>0</v>
      </c>
      <c r="BH129" s="259">
        <f>SUMIFS('F3 - Relevé du personnel'!$I$4:$I$281,'F3 - Relevé du personnel'!$D$4:$D$281,$BD129,'F3 - Relevé du personnel'!$C$4:$C$281,'F0 - Données générales'!$K$34)</f>
        <v>0</v>
      </c>
      <c r="BI129" s="259">
        <f>SUMIFS('F3 - Relevé du personnel'!$M$4:$M$281,'F3 - Relevé du personnel'!$D$4:$D$281,$BD129,'F3 - Relevé du personnel'!$C$4:$C$281,'F0 - Données générales'!$K$34)</f>
        <v>0</v>
      </c>
      <c r="BJ129" s="189">
        <f t="shared" si="82"/>
        <v>0</v>
      </c>
      <c r="BK129" s="259">
        <f>SUMIFS('F3 - Relevé du personnel'!$O$4:$O$281,'F3 - Relevé du personnel'!$D$4:$D$281,$BD129,'F3 - Relevé du personnel'!$C$4:$C$281,'F0 - Données générales'!$K$34)</f>
        <v>0</v>
      </c>
      <c r="BL129" s="259">
        <f>SUMIFS('F3 - Relevé du personnel'!$P$4:$P$281,'F3 - Relevé du personnel'!$D$4:$D$281,$BD129,'F3 - Relevé du personnel'!$C$4:$C$281,'F0 - Données générales'!$K$34)</f>
        <v>0</v>
      </c>
      <c r="BM129" s="259">
        <f>SUMIFS('F3 - Relevé du personnel'!$Q$4:$Q$281,'F3 - Relevé du personnel'!$D$4:$D$281,$BD129,'F3 - Relevé du personnel'!$C$4:$C$281,'F0 - Données générales'!$K$34)</f>
        <v>0</v>
      </c>
      <c r="BN129" s="48">
        <f t="shared" si="83"/>
        <v>0</v>
      </c>
      <c r="BO129" s="187" t="str">
        <f t="shared" si="84"/>
        <v/>
      </c>
      <c r="BP129" s="188" t="str">
        <f>IF(BG129=0,"",(SUMPRODUCT(($D$4:$D$253=BD129)*($C$4:$C$253='F0 - Données générales'!$K$34)*($E$4:$E$253)*($F$4:$F$253))+SUMPRODUCT(($D$257:$D$281=BD129)*($C$257:$C$281='F0 - Données générales'!$K$34)*($E$257:$E$281)*($F$257:$F$281)))/(SUMIFS('F3 - Relevé du personnel'!$E$4:$E$281,'F3 - Relevé du personnel'!$D$4:$D$281,$BD129,'F3 - Relevé du personnel'!$C$4:$C$281,'F0 - Données générales'!$K$34)))</f>
        <v/>
      </c>
      <c r="BS129" s="14"/>
      <c r="BT129" s="14"/>
      <c r="BU129" s="14"/>
      <c r="BV129" s="14"/>
    </row>
    <row r="130" spans="1:74" ht="15" customHeight="1" x14ac:dyDescent="0.3">
      <c r="A130" s="106">
        <v>127</v>
      </c>
      <c r="B130" s="324">
        <f>'F0 - Données générales'!$C$4</f>
        <v>7</v>
      </c>
      <c r="C130" s="106" t="s">
        <v>95</v>
      </c>
      <c r="D130" s="106"/>
      <c r="E130" s="107"/>
      <c r="F130" s="108"/>
      <c r="G130" s="109"/>
      <c r="H130" s="110">
        <f t="shared" si="47"/>
        <v>0</v>
      </c>
      <c r="I130" s="177"/>
      <c r="J130" s="118" t="str">
        <f>IF(OR(D130="",F130=""),"",(((HLOOKUP(D130,'Carrières et points'!$A$20:$AD$60,F130+2,FALSE)*'Carrières et points'!$C$7*'Carrières et points'!$C$9)+(HLOOKUP(D130,'Carrières et points'!$A$20:$AD$60,F130+2,FALSE)*'Carrières et points'!$C$13*'Carrières et points'!$C$15))*(1+'F0 - Données générales'!$I$4)+((HLOOKUP(D130,'Carrières et points'!$A$20:$AD$60,F130+2,FALSE)*'Carrières et points'!$C$7*'Carrières et points'!$C$9)+(HLOOKUP(D130,'Carrières et points'!$A$20:$AD$60,F130+2,FALSE)*'Carrières et points'!$C$13*'Carrières et points'!$C$15))/12*(1+'F0 - Données générales'!$L$13))*E130)</f>
        <v/>
      </c>
      <c r="K130" s="118" t="str">
        <f t="shared" si="48"/>
        <v/>
      </c>
      <c r="L130" s="109"/>
      <c r="M130" s="177"/>
      <c r="N130" s="118" t="str">
        <f t="shared" si="49"/>
        <v/>
      </c>
      <c r="O130" s="177"/>
      <c r="P130" s="177"/>
      <c r="Q130" s="177"/>
      <c r="R130" s="255" t="str">
        <f t="shared" si="50"/>
        <v/>
      </c>
      <c r="S130" s="120"/>
      <c r="T130" s="742" t="s">
        <v>64</v>
      </c>
      <c r="U130" s="742"/>
      <c r="V130" s="26" t="s">
        <v>97</v>
      </c>
      <c r="W130" s="741"/>
      <c r="X130" s="741"/>
      <c r="Y130" s="181">
        <f>SUMIFS('F3 - Relevé du personnel'!$E$4:$E$281,'F3 - Relevé du personnel'!$D$4:$D$281,$V130,'F3 - Relevé du personnel'!$C$4:$C$281,'F0 - Données générales'!$K$31,'F3 - Relevé du personnel'!$B$4:$B$281,"8.3")</f>
        <v>0</v>
      </c>
      <c r="Z130" s="181">
        <f>SUMIFS('F3 - Relevé du personnel'!$H$4:$H$281,'F3 - Relevé du personnel'!$D$4:$D$281,$V130,'F3 - Relevé du personnel'!$C$4:$C$281,'F0 - Données générales'!$K$31,'F3 - Relevé du personnel'!$B$4:$B$281,"8.3")</f>
        <v>0</v>
      </c>
      <c r="AA130" s="256">
        <f>SUMIFS('F3 - Relevé du personnel'!$I$4:$I$281,'F3 - Relevé du personnel'!$D$4:$D$281,$V130,'F3 - Relevé du personnel'!$C$4:$C$281,'F0 - Données générales'!$K$31,'F3 - Relevé du personnel'!$B$4:$B$281,"8.3")</f>
        <v>0</v>
      </c>
      <c r="AB130" s="256">
        <f>SUMIFS('F3 - Relevé du personnel'!$M$4:$M$281,'F3 - Relevé du personnel'!$D$4:$D$281,$V130,'F3 - Relevé du personnel'!$C$4:$C$281,'F0 - Données générales'!$K$31,'F3 - Relevé du personnel'!$B$4:$B$281,"8.3")</f>
        <v>0</v>
      </c>
      <c r="AC130" s="196">
        <f t="shared" si="72"/>
        <v>0</v>
      </c>
      <c r="AD130" s="256">
        <f>SUMIFS('F3 - Relevé du personnel'!$O$4:$O$281,'F3 - Relevé du personnel'!$D$4:$D$281,$V130,'F3 - Relevé du personnel'!$C$4:$C$281,'F0 - Données générales'!$K$31,'F3 - Relevé du personnel'!$B$4:$B$281,"8.3")</f>
        <v>0</v>
      </c>
      <c r="AE130" s="256">
        <f>SUMIFS('F3 - Relevé du personnel'!$P$4:$P$281,'F3 - Relevé du personnel'!$D$4:$D$281,$V130,'F3 - Relevé du personnel'!$C$4:$C$281,'F0 - Données générales'!$K$31,'F3 - Relevé du personnel'!$B$4:$B$281,"8.3")</f>
        <v>0</v>
      </c>
      <c r="AF130" s="256">
        <f>SUMIFS('F3 - Relevé du personnel'!$Q$4:$Q$281,'F3 - Relevé du personnel'!$D$4:$D$281,$V130,'F3 - Relevé du personnel'!$C$4:$C$281,'F0 - Données générales'!$K$31,'F3 - Relevé du personnel'!$B$4:$B$281,"8.3")</f>
        <v>0</v>
      </c>
      <c r="AG130" s="182">
        <f t="shared" si="73"/>
        <v>0</v>
      </c>
      <c r="AH130" s="197" t="str">
        <f t="shared" si="74"/>
        <v/>
      </c>
      <c r="AI130" s="198" t="str">
        <f>IF(Y130=0,"",(SUMPRODUCT(($D$4:$D$253=V130)*($C$4:$C$253='F0 - Données générales'!$K$31)*($E$4:$E$253)*($F$4:$F$253)*($B$4:$B$253="8.3"))+SUMPRODUCT(($D$257:$D$281=V130)*($C$257:$C$281='F0 - Données générales'!$K$31)*($B$257:$B$281="8.3")*($E$257:$E$281)*($F$257:$F$281)))/(SUMIFS('F3 - Relevé du personnel'!$E$4:$E$281,'F3 - Relevé du personnel'!$D$4:$D$281,$V130,'F3 - Relevé du personnel'!$C$4:$C$281,'F0 - Données générales'!$K$31,'F3 - Relevé du personnel'!$B$4:$B$281,"8.3")))</f>
        <v/>
      </c>
      <c r="AK130" s="742" t="s">
        <v>64</v>
      </c>
      <c r="AL130" s="742"/>
      <c r="AM130" s="26" t="s">
        <v>97</v>
      </c>
      <c r="AN130" s="741"/>
      <c r="AO130" s="741"/>
      <c r="AP130" s="181">
        <f>SUMIFS('F3 - Relevé du personnel'!$E$4:$E$281,'F3 - Relevé du personnel'!$D$4:$D$281,$AM130,'F3 - Relevé du personnel'!$C$4:$C$281,'F0 - Données générales'!$K$31,'F3 - Relevé du personnel'!$B$4:$B$281,"0-3 ans")</f>
        <v>0</v>
      </c>
      <c r="AQ130" s="181">
        <f>SUMIFS('F3 - Relevé du personnel'!$H$4:$H$281,'F3 - Relevé du personnel'!$D$4:$D$281,$AM130,'F3 - Relevé du personnel'!$C$4:$C$281,'F0 - Données générales'!$K$31,'F3 - Relevé du personnel'!$B$4:$B$281,"0-3 ans")</f>
        <v>0</v>
      </c>
      <c r="AR130" s="256">
        <f>SUMIFS('F3 - Relevé du personnel'!$I$4:$I$281,'F3 - Relevé du personnel'!$D$4:$D$281,$AM130,'F3 - Relevé du personnel'!$C$4:$C$281,'F0 - Données générales'!$K$31,'F3 - Relevé du personnel'!$B$4:$B$281,"0-3 ans")</f>
        <v>0</v>
      </c>
      <c r="AS130" s="256">
        <f>SUMIFS('F3 - Relevé du personnel'!$M$4:$M$281,'F3 - Relevé du personnel'!$D$4:$D$281,$AM130,'F3 - Relevé du personnel'!$C$4:$C$281,'F0 - Données générales'!$K$31,'F3 - Relevé du personnel'!$B$4:$B$281,"0-3 ans")</f>
        <v>0</v>
      </c>
      <c r="AT130" s="196">
        <f t="shared" si="85"/>
        <v>0</v>
      </c>
      <c r="AU130" s="256">
        <f>SUMIFS('F3 - Relevé du personnel'!$O$4:$O$281,'F3 - Relevé du personnel'!$D$4:$D$281,$AM130,'F3 - Relevé du personnel'!$C$4:$C$281,'F0 - Données générales'!$K$31,'F3 - Relevé du personnel'!$B$4:$B$281,"0-3 ans")</f>
        <v>0</v>
      </c>
      <c r="AV130" s="256">
        <f>SUMIFS('F3 - Relevé du personnel'!$P$4:$P$281,'F3 - Relevé du personnel'!$D$4:$D$281,$AM130,'F3 - Relevé du personnel'!$C$4:$C$281,'F0 - Données générales'!$K$31,'F3 - Relevé du personnel'!$B$4:$B$281,"0-3 ans")</f>
        <v>0</v>
      </c>
      <c r="AW130" s="256">
        <f>SUMIFS('F3 - Relevé du personnel'!$Q$4:$Q$281,'F3 - Relevé du personnel'!$D$4:$D$281,$AM130,'F3 - Relevé du personnel'!$C$4:$C$281,'F0 - Données générales'!$K$31,'F3 - Relevé du personnel'!$B$4:$B$281,"0-3 ans")</f>
        <v>0</v>
      </c>
      <c r="AX130" s="182">
        <f t="shared" si="86"/>
        <v>0</v>
      </c>
      <c r="AY130" s="197" t="str">
        <f t="shared" si="79"/>
        <v/>
      </c>
      <c r="AZ130" s="198" t="str">
        <f>IF(AP130=0,"",(SUMPRODUCT(($D$4:$D$253=AM130)*($C$4:$C$253='F0 - Données générales'!$K$31)*($E$4:$E$253)*($F$4:$F$253)*($B$4:$B$253="0-3 ans"))+SUMPRODUCT(($D$257:$D$281=AM130)*($C$257:$C$281='F0 - Données générales'!$K$31)*($B$257:$B$281="0-3 ans")*($E$257:$E$281)*($F$257:$F$281)))/(SUMIFS('F3 - Relevé du personnel'!$E$4:$E$281,'F3 - Relevé du personnel'!$D$4:$D$281,$AM130,'F3 - Relevé du personnel'!$C$4:$C$281,'F0 - Données générales'!$K$31,'F3 - Relevé du personnel'!$B$4:$B$281,"0-3 ans")))</f>
        <v/>
      </c>
      <c r="BB130" s="762"/>
      <c r="BC130" s="763"/>
      <c r="BD130" s="777" t="s">
        <v>165</v>
      </c>
      <c r="BE130" s="778"/>
      <c r="BF130" s="779"/>
      <c r="BG130" s="190">
        <f>SUM(BG121:BG129)</f>
        <v>0</v>
      </c>
      <c r="BH130" s="191">
        <f>SUM(BH121:BH129)</f>
        <v>0</v>
      </c>
      <c r="BI130" s="191">
        <f>SUM(BI121:BI129)</f>
        <v>0</v>
      </c>
      <c r="BJ130" s="191">
        <f t="shared" ref="BJ130:BJ150" si="87">(BH130+BI130)</f>
        <v>0</v>
      </c>
      <c r="BK130" s="191">
        <f>SUM(BK121:BK129)</f>
        <v>0</v>
      </c>
      <c r="BL130" s="191">
        <f>SUM(BL121:BL129)</f>
        <v>0</v>
      </c>
      <c r="BM130" s="191">
        <f>SUM(BM121:BM129)</f>
        <v>0</v>
      </c>
      <c r="BN130" s="192">
        <f>BH130+BI130-SUM(BK130:BM130)</f>
        <v>0</v>
      </c>
      <c r="BO130" s="192" t="str">
        <f t="shared" ref="BO130:BO151" si="88">IF(BG130=0,"",(BN130)/BG130)</f>
        <v/>
      </c>
      <c r="BP130" s="193"/>
      <c r="BS130" s="14"/>
      <c r="BT130" s="14"/>
      <c r="BU130" s="14"/>
      <c r="BV130" s="132"/>
    </row>
    <row r="131" spans="1:74" ht="15" customHeight="1" x14ac:dyDescent="0.3">
      <c r="A131" s="106">
        <v>128</v>
      </c>
      <c r="B131" s="324">
        <f>'F0 - Données générales'!$C$4</f>
        <v>7</v>
      </c>
      <c r="C131" s="106" t="s">
        <v>95</v>
      </c>
      <c r="D131" s="106"/>
      <c r="E131" s="107"/>
      <c r="F131" s="108"/>
      <c r="G131" s="109"/>
      <c r="H131" s="110">
        <f t="shared" si="47"/>
        <v>0</v>
      </c>
      <c r="I131" s="177"/>
      <c r="J131" s="118" t="str">
        <f>IF(OR(D131="",F131=""),"",(((HLOOKUP(D131,'Carrières et points'!$A$20:$AD$60,F131+2,FALSE)*'Carrières et points'!$C$7*'Carrières et points'!$C$9)+(HLOOKUP(D131,'Carrières et points'!$A$20:$AD$60,F131+2,FALSE)*'Carrières et points'!$C$13*'Carrières et points'!$C$15))*(1+'F0 - Données générales'!$I$4)+((HLOOKUP(D131,'Carrières et points'!$A$20:$AD$60,F131+2,FALSE)*'Carrières et points'!$C$7*'Carrières et points'!$C$9)+(HLOOKUP(D131,'Carrières et points'!$A$20:$AD$60,F131+2,FALSE)*'Carrières et points'!$C$13*'Carrières et points'!$C$15))/12*(1+'F0 - Données générales'!$L$13))*E131)</f>
        <v/>
      </c>
      <c r="K131" s="118" t="str">
        <f t="shared" si="48"/>
        <v/>
      </c>
      <c r="L131" s="109"/>
      <c r="M131" s="177"/>
      <c r="N131" s="118" t="str">
        <f t="shared" si="49"/>
        <v/>
      </c>
      <c r="O131" s="177"/>
      <c r="P131" s="177"/>
      <c r="Q131" s="177"/>
      <c r="R131" s="255" t="str">
        <f t="shared" si="50"/>
        <v/>
      </c>
      <c r="S131" s="120"/>
      <c r="T131" s="742" t="s">
        <v>61</v>
      </c>
      <c r="U131" s="742"/>
      <c r="V131" s="26" t="s">
        <v>98</v>
      </c>
      <c r="W131" s="741"/>
      <c r="X131" s="741"/>
      <c r="Y131" s="181">
        <f>SUMIFS('F3 - Relevé du personnel'!$E$4:$E$281,'F3 - Relevé du personnel'!$D$4:$D$281,$V131,'F3 - Relevé du personnel'!$C$4:$C$281,'F0 - Données générales'!$K$31,'F3 - Relevé du personnel'!$B$4:$B$281,"8.3")</f>
        <v>0</v>
      </c>
      <c r="Z131" s="181">
        <f>SUMIFS('F3 - Relevé du personnel'!$H$4:$H$281,'F3 - Relevé du personnel'!$D$4:$D$281,$V131,'F3 - Relevé du personnel'!$C$4:$C$281,'F0 - Données générales'!$K$31,'F3 - Relevé du personnel'!$B$4:$B$281,"8.3")</f>
        <v>0</v>
      </c>
      <c r="AA131" s="256">
        <f>SUMIFS('F3 - Relevé du personnel'!$I$4:$I$281,'F3 - Relevé du personnel'!$D$4:$D$281,$V131,'F3 - Relevé du personnel'!$C$4:$C$281,'F0 - Données générales'!$K$31,'F3 - Relevé du personnel'!$B$4:$B$281,"8.3")</f>
        <v>0</v>
      </c>
      <c r="AB131" s="256">
        <f>SUMIFS('F3 - Relevé du personnel'!$M$4:$M$281,'F3 - Relevé du personnel'!$D$4:$D$281,$V131,'F3 - Relevé du personnel'!$C$4:$C$281,'F0 - Données générales'!$K$31,'F3 - Relevé du personnel'!$B$4:$B$281,"8.3")</f>
        <v>0</v>
      </c>
      <c r="AC131" s="196">
        <f t="shared" si="72"/>
        <v>0</v>
      </c>
      <c r="AD131" s="256">
        <f>SUMIFS('F3 - Relevé du personnel'!$O$4:$O$281,'F3 - Relevé du personnel'!$D$4:$D$281,$V131,'F3 - Relevé du personnel'!$C$4:$C$281,'F0 - Données générales'!$K$31,'F3 - Relevé du personnel'!$B$4:$B$281,"8.3")</f>
        <v>0</v>
      </c>
      <c r="AE131" s="256">
        <f>SUMIFS('F3 - Relevé du personnel'!$P$4:$P$281,'F3 - Relevé du personnel'!$D$4:$D$281,$V131,'F3 - Relevé du personnel'!$C$4:$C$281,'F0 - Données générales'!$K$31,'F3 - Relevé du personnel'!$B$4:$B$281,"8.3")</f>
        <v>0</v>
      </c>
      <c r="AF131" s="256">
        <f>SUMIFS('F3 - Relevé du personnel'!$Q$4:$Q$281,'F3 - Relevé du personnel'!$D$4:$D$281,$V131,'F3 - Relevé du personnel'!$C$4:$C$281,'F0 - Données générales'!$K$31,'F3 - Relevé du personnel'!$B$4:$B$281,"8.3")</f>
        <v>0</v>
      </c>
      <c r="AG131" s="182">
        <f t="shared" si="73"/>
        <v>0</v>
      </c>
      <c r="AH131" s="197" t="str">
        <f t="shared" si="74"/>
        <v/>
      </c>
      <c r="AI131" s="198" t="str">
        <f>IF(Y131=0,"",(SUMPRODUCT(($D$4:$D$253=V131)*($C$4:$C$253='F0 - Données générales'!$K$31)*($E$4:$E$253)*($F$4:$F$253)*($B$4:$B$253="8.3"))+SUMPRODUCT(($D$257:$D$281=V131)*($C$257:$C$281='F0 - Données générales'!$K$31)*($B$257:$B$281="8.3")*($E$257:$E$281)*($F$257:$F$281)))/(SUMIFS('F3 - Relevé du personnel'!$E$4:$E$281,'F3 - Relevé du personnel'!$D$4:$D$281,$V131,'F3 - Relevé du personnel'!$C$4:$C$281,'F0 - Données générales'!$K$31,'F3 - Relevé du personnel'!$B$4:$B$281,"8.3")))</f>
        <v/>
      </c>
      <c r="AK131" s="742" t="s">
        <v>61</v>
      </c>
      <c r="AL131" s="742"/>
      <c r="AM131" s="26" t="s">
        <v>98</v>
      </c>
      <c r="AN131" s="741"/>
      <c r="AO131" s="741"/>
      <c r="AP131" s="181">
        <f>SUMIFS('F3 - Relevé du personnel'!$E$4:$E$281,'F3 - Relevé du personnel'!$D$4:$D$281,$AM131,'F3 - Relevé du personnel'!$C$4:$C$281,'F0 - Données générales'!$K$31,'F3 - Relevé du personnel'!$B$4:$B$281,"0-3 ans")</f>
        <v>0</v>
      </c>
      <c r="AQ131" s="181">
        <f>SUMIFS('F3 - Relevé du personnel'!$H$4:$H$281,'F3 - Relevé du personnel'!$D$4:$D$281,$AM131,'F3 - Relevé du personnel'!$C$4:$C$281,'F0 - Données générales'!$K$31,'F3 - Relevé du personnel'!$B$4:$B$281,"0-3 ans")</f>
        <v>0</v>
      </c>
      <c r="AR131" s="256">
        <f>SUMIFS('F3 - Relevé du personnel'!$I$4:$I$281,'F3 - Relevé du personnel'!$D$4:$D$281,$AM131,'F3 - Relevé du personnel'!$C$4:$C$281,'F0 - Données générales'!$K$31,'F3 - Relevé du personnel'!$B$4:$B$281,"0-3 ans")</f>
        <v>0</v>
      </c>
      <c r="AS131" s="256">
        <f>SUMIFS('F3 - Relevé du personnel'!$M$4:$M$281,'F3 - Relevé du personnel'!$D$4:$D$281,$AM131,'F3 - Relevé du personnel'!$C$4:$C$281,'F0 - Données générales'!$K$31,'F3 - Relevé du personnel'!$B$4:$B$281,"0-3 ans")</f>
        <v>0</v>
      </c>
      <c r="AT131" s="196">
        <f t="shared" si="85"/>
        <v>0</v>
      </c>
      <c r="AU131" s="256">
        <f>SUMIFS('F3 - Relevé du personnel'!$O$4:$O$281,'F3 - Relevé du personnel'!$D$4:$D$281,$AM131,'F3 - Relevé du personnel'!$C$4:$C$281,'F0 - Données générales'!$K$31,'F3 - Relevé du personnel'!$B$4:$B$281,"0-3 ans")</f>
        <v>0</v>
      </c>
      <c r="AV131" s="256">
        <f>SUMIFS('F3 - Relevé du personnel'!$P$4:$P$281,'F3 - Relevé du personnel'!$D$4:$D$281,$AM131,'F3 - Relevé du personnel'!$C$4:$C$281,'F0 - Données générales'!$K$31,'F3 - Relevé du personnel'!$B$4:$B$281,"0-3 ans")</f>
        <v>0</v>
      </c>
      <c r="AW131" s="256">
        <f>SUMIFS('F3 - Relevé du personnel'!$Q$4:$Q$281,'F3 - Relevé du personnel'!$D$4:$D$281,$AM131,'F3 - Relevé du personnel'!$C$4:$C$281,'F0 - Données générales'!$K$31,'F3 - Relevé du personnel'!$B$4:$B$281,"0-3 ans")</f>
        <v>0</v>
      </c>
      <c r="AX131" s="182">
        <f t="shared" si="86"/>
        <v>0</v>
      </c>
      <c r="AY131" s="197" t="str">
        <f t="shared" si="79"/>
        <v/>
      </c>
      <c r="AZ131" s="198" t="str">
        <f>IF(AP131=0,"",(SUMPRODUCT(($D$4:$D$253=AM131)*($C$4:$C$253='F0 - Données générales'!$K$31)*($E$4:$E$253)*($F$4:$F$253)*($B$4:$B$253="0-3 ans"))+SUMPRODUCT(($D$257:$D$281=AM131)*($C$257:$C$281='F0 - Données générales'!$K$31)*($B$257:$B$281="0-3 ans")*($E$257:$E$281)*($F$257:$F$281)))/(SUMIFS('F3 - Relevé du personnel'!$E$4:$E$281,'F3 - Relevé du personnel'!$D$4:$D$281,$AM131,'F3 - Relevé du personnel'!$C$4:$C$281,'F0 - Données générales'!$K$31,'F3 - Relevé du personnel'!$B$4:$B$281,"0-3 ans")))</f>
        <v/>
      </c>
      <c r="BB131" s="760" t="s">
        <v>61</v>
      </c>
      <c r="BC131" s="761"/>
      <c r="BD131" s="13" t="s">
        <v>80</v>
      </c>
      <c r="BE131" s="758" t="s">
        <v>81</v>
      </c>
      <c r="BF131" s="759"/>
      <c r="BG131" s="45">
        <f>SUMIFS('F3 - Relevé du personnel'!$E$4:$E$281,'F3 - Relevé du personnel'!$D$4:$D$281,$BD131,'F3 - Relevé du personnel'!$C$4:$C$281,'F0 - Données générales'!$K$34)</f>
        <v>0</v>
      </c>
      <c r="BH131" s="259">
        <f>SUMIFS('F3 - Relevé du personnel'!$I$4:$I$281,'F3 - Relevé du personnel'!$D$4:$D$281,$BD131,'F3 - Relevé du personnel'!$C$4:$C$281,'F0 - Données générales'!$K$34)</f>
        <v>0</v>
      </c>
      <c r="BI131" s="259">
        <f>SUMIFS('F3 - Relevé du personnel'!$M$4:$M$281,'F3 - Relevé du personnel'!$D$4:$D$281,$BD131,'F3 - Relevé du personnel'!$C$4:$C$281,'F0 - Données générales'!$K$34)</f>
        <v>0</v>
      </c>
      <c r="BJ131" s="189">
        <f t="shared" si="87"/>
        <v>0</v>
      </c>
      <c r="BK131" s="259">
        <f>SUMIFS('F3 - Relevé du personnel'!$O$4:$O$281,'F3 - Relevé du personnel'!$D$4:$D$281,$BD131,'F3 - Relevé du personnel'!$C$4:$C$281,'F0 - Données générales'!$K$34)</f>
        <v>0</v>
      </c>
      <c r="BL131" s="259">
        <f>SUMIFS('F3 - Relevé du personnel'!$P$4:$P$281,'F3 - Relevé du personnel'!$D$4:$D$281,$BD131,'F3 - Relevé du personnel'!$C$4:$C$281,'F0 - Données générales'!$K$34)</f>
        <v>0</v>
      </c>
      <c r="BM131" s="259">
        <f>SUMIFS('F3 - Relevé du personnel'!$Q$4:$Q$281,'F3 - Relevé du personnel'!$D$4:$D$281,$BD131,'F3 - Relevé du personnel'!$C$4:$C$281,'F0 - Données générales'!$K$34)</f>
        <v>0</v>
      </c>
      <c r="BN131" s="48">
        <f t="shared" ref="BN131:BN136" si="89">BH131+BI131-SUM(BK131:BM131)</f>
        <v>0</v>
      </c>
      <c r="BO131" s="187" t="str">
        <f t="shared" si="88"/>
        <v/>
      </c>
      <c r="BP131" s="188" t="str">
        <f>IF(BG131=0,"",(SUMPRODUCT(($D$4:$D$253=BD131)*($C$4:$C$253='F0 - Données générales'!$K$34)*($E$4:$E$253)*($F$4:$F$253))+SUMPRODUCT(($D$257:$D$281=BD131)*($C$257:$C$281='F0 - Données générales'!$K$34)*($E$257:$E$281)*($F$257:$F$281)))/(SUMIFS('F3 - Relevé du personnel'!$E$4:$E$281,'F3 - Relevé du personnel'!$D$4:$D$281,$BD131,'F3 - Relevé du personnel'!$C$4:$C$281,'F0 - Données générales'!$K$34)))</f>
        <v/>
      </c>
      <c r="BS131" s="14"/>
      <c r="BT131" s="14"/>
      <c r="BU131" s="14"/>
      <c r="BV131" s="14"/>
    </row>
    <row r="132" spans="1:74" ht="15" customHeight="1" x14ac:dyDescent="0.3">
      <c r="A132" s="106">
        <v>129</v>
      </c>
      <c r="B132" s="324">
        <f>'F0 - Données générales'!$C$4</f>
        <v>7</v>
      </c>
      <c r="C132" s="106" t="s">
        <v>95</v>
      </c>
      <c r="D132" s="106"/>
      <c r="E132" s="107"/>
      <c r="F132" s="108"/>
      <c r="G132" s="109"/>
      <c r="H132" s="110">
        <f t="shared" si="47"/>
        <v>0</v>
      </c>
      <c r="I132" s="177"/>
      <c r="J132" s="118" t="str">
        <f>IF(OR(D132="",F132=""),"",(((HLOOKUP(D132,'Carrières et points'!$A$20:$AD$60,F132+2,FALSE)*'Carrières et points'!$C$7*'Carrières et points'!$C$9)+(HLOOKUP(D132,'Carrières et points'!$A$20:$AD$60,F132+2,FALSE)*'Carrières et points'!$C$13*'Carrières et points'!$C$15))*(1+'F0 - Données générales'!$I$4)+((HLOOKUP(D132,'Carrières et points'!$A$20:$AD$60,F132+2,FALSE)*'Carrières et points'!$C$7*'Carrières et points'!$C$9)+(HLOOKUP(D132,'Carrières et points'!$A$20:$AD$60,F132+2,FALSE)*'Carrières et points'!$C$13*'Carrières et points'!$C$15))/12*(1+'F0 - Données générales'!$L$13))*E132)</f>
        <v/>
      </c>
      <c r="K132" s="118" t="str">
        <f t="shared" si="48"/>
        <v/>
      </c>
      <c r="L132" s="109"/>
      <c r="M132" s="177"/>
      <c r="N132" s="118" t="str">
        <f t="shared" si="49"/>
        <v/>
      </c>
      <c r="O132" s="177"/>
      <c r="P132" s="177"/>
      <c r="Q132" s="177"/>
      <c r="R132" s="255" t="str">
        <f t="shared" si="50"/>
        <v/>
      </c>
      <c r="S132" s="120"/>
      <c r="T132" s="742" t="s">
        <v>61</v>
      </c>
      <c r="U132" s="742"/>
      <c r="V132" s="26" t="s">
        <v>319</v>
      </c>
      <c r="W132" s="741"/>
      <c r="X132" s="741"/>
      <c r="Y132" s="181">
        <f>SUMIFS('F3 - Relevé du personnel'!$E$4:$E$281,'F3 - Relevé du personnel'!$D$4:$D$281,$V132,'F3 - Relevé du personnel'!$C$4:$C$281,'F0 - Données générales'!$K$31,'F3 - Relevé du personnel'!$B$4:$B$281,"8.3")</f>
        <v>0</v>
      </c>
      <c r="Z132" s="181">
        <f>SUMIFS('F3 - Relevé du personnel'!$H$4:$H$281,'F3 - Relevé du personnel'!$D$4:$D$281,$V132,'F3 - Relevé du personnel'!$C$4:$C$281,'F0 - Données générales'!$K$31,'F3 - Relevé du personnel'!$B$4:$B$281,"8.3")</f>
        <v>0</v>
      </c>
      <c r="AA132" s="256">
        <f>SUMIFS('F3 - Relevé du personnel'!$I$4:$I$281,'F3 - Relevé du personnel'!$D$4:$D$281,$V132,'F3 - Relevé du personnel'!$C$4:$C$281,'F0 - Données générales'!$K$31,'F3 - Relevé du personnel'!$B$4:$B$281,"8.3")</f>
        <v>0</v>
      </c>
      <c r="AB132" s="256">
        <f>SUMIFS('F3 - Relevé du personnel'!$M$4:$M$281,'F3 - Relevé du personnel'!$D$4:$D$281,$V132,'F3 - Relevé du personnel'!$C$4:$C$281,'F0 - Données générales'!$K$31,'F3 - Relevé du personnel'!$B$4:$B$281,"8.3")</f>
        <v>0</v>
      </c>
      <c r="AC132" s="196">
        <f t="shared" si="72"/>
        <v>0</v>
      </c>
      <c r="AD132" s="256">
        <f>SUMIFS('F3 - Relevé du personnel'!$O$4:$O$281,'F3 - Relevé du personnel'!$D$4:$D$281,$V132,'F3 - Relevé du personnel'!$C$4:$C$281,'F0 - Données générales'!$K$31,'F3 - Relevé du personnel'!$B$4:$B$281,"8.3")</f>
        <v>0</v>
      </c>
      <c r="AE132" s="256">
        <f>SUMIFS('F3 - Relevé du personnel'!$P$4:$P$281,'F3 - Relevé du personnel'!$D$4:$D$281,$V132,'F3 - Relevé du personnel'!$C$4:$C$281,'F0 - Données générales'!$K$31,'F3 - Relevé du personnel'!$B$4:$B$281,"8.3")</f>
        <v>0</v>
      </c>
      <c r="AF132" s="256">
        <f>SUMIFS('F3 - Relevé du personnel'!$Q$4:$Q$281,'F3 - Relevé du personnel'!$D$4:$D$281,$V132,'F3 - Relevé du personnel'!$C$4:$C$281,'F0 - Données générales'!$K$31,'F3 - Relevé du personnel'!$B$4:$B$281,"8.3")</f>
        <v>0</v>
      </c>
      <c r="AG132" s="182">
        <f t="shared" si="73"/>
        <v>0</v>
      </c>
      <c r="AH132" s="197" t="str">
        <f t="shared" si="74"/>
        <v/>
      </c>
      <c r="AI132" s="198" t="str">
        <f>IF(Y132=0,"",(SUMPRODUCT(($D$4:$D$253=V132)*($C$4:$C$253='F0 - Données générales'!$K$31)*($E$4:$E$253)*($F$4:$F$253)*($B$4:$B$253="8.3"))+SUMPRODUCT(($D$257:$D$281=V132)*($C$257:$C$281='F0 - Données générales'!$K$31)*($B$257:$B$281="8.3")*($E$257:$E$281)*($F$257:$F$281)))/(SUMIFS('F3 - Relevé du personnel'!$E$4:$E$281,'F3 - Relevé du personnel'!$D$4:$D$281,$V132,'F3 - Relevé du personnel'!$C$4:$C$281,'F0 - Données générales'!$K$31,'F3 - Relevé du personnel'!$B$4:$B$281,"8.3")))</f>
        <v/>
      </c>
      <c r="AK132" s="742" t="s">
        <v>61</v>
      </c>
      <c r="AL132" s="742"/>
      <c r="AM132" s="26" t="s">
        <v>319</v>
      </c>
      <c r="AN132" s="741"/>
      <c r="AO132" s="741"/>
      <c r="AP132" s="181">
        <f>SUMIFS('F3 - Relevé du personnel'!$E$4:$E$281,'F3 - Relevé du personnel'!$D$4:$D$281,$AM132,'F3 - Relevé du personnel'!$C$4:$C$281,'F0 - Données générales'!$K$31,'F3 - Relevé du personnel'!$B$4:$B$281,"0-3 ans")</f>
        <v>0</v>
      </c>
      <c r="AQ132" s="181">
        <f>SUMIFS('F3 - Relevé du personnel'!$H$4:$H$281,'F3 - Relevé du personnel'!$D$4:$D$281,$AM132,'F3 - Relevé du personnel'!$C$4:$C$281,'F0 - Données générales'!$K$31,'F3 - Relevé du personnel'!$B$4:$B$281,"0-3 ans")</f>
        <v>0</v>
      </c>
      <c r="AR132" s="256">
        <f>SUMIFS('F3 - Relevé du personnel'!$I$4:$I$281,'F3 - Relevé du personnel'!$D$4:$D$281,$AM132,'F3 - Relevé du personnel'!$C$4:$C$281,'F0 - Données générales'!$K$31,'F3 - Relevé du personnel'!$B$4:$B$281,"0-3 ans")</f>
        <v>0</v>
      </c>
      <c r="AS132" s="256">
        <f>SUMIFS('F3 - Relevé du personnel'!$M$4:$M$281,'F3 - Relevé du personnel'!$D$4:$D$281,$AM132,'F3 - Relevé du personnel'!$C$4:$C$281,'F0 - Données générales'!$K$31,'F3 - Relevé du personnel'!$B$4:$B$281,"0-3 ans")</f>
        <v>0</v>
      </c>
      <c r="AT132" s="196">
        <f t="shared" si="85"/>
        <v>0</v>
      </c>
      <c r="AU132" s="256">
        <f>SUMIFS('F3 - Relevé du personnel'!$O$4:$O$281,'F3 - Relevé du personnel'!$D$4:$D$281,$AM132,'F3 - Relevé du personnel'!$C$4:$C$281,'F0 - Données générales'!$K$31,'F3 - Relevé du personnel'!$B$4:$B$281,"0-3 ans")</f>
        <v>0</v>
      </c>
      <c r="AV132" s="256">
        <f>SUMIFS('F3 - Relevé du personnel'!$P$4:$P$281,'F3 - Relevé du personnel'!$D$4:$D$281,$AM132,'F3 - Relevé du personnel'!$C$4:$C$281,'F0 - Données générales'!$K$31,'F3 - Relevé du personnel'!$B$4:$B$281,"0-3 ans")</f>
        <v>0</v>
      </c>
      <c r="AW132" s="256">
        <f>SUMIFS('F3 - Relevé du personnel'!$Q$4:$Q$281,'F3 - Relevé du personnel'!$D$4:$D$281,$AM132,'F3 - Relevé du personnel'!$C$4:$C$281,'F0 - Données générales'!$K$31,'F3 - Relevé du personnel'!$B$4:$B$281,"0-3 ans")</f>
        <v>0</v>
      </c>
      <c r="AX132" s="182">
        <f t="shared" si="86"/>
        <v>0</v>
      </c>
      <c r="AY132" s="197" t="str">
        <f t="shared" si="79"/>
        <v/>
      </c>
      <c r="AZ132" s="198" t="str">
        <f>IF(AP132=0,"",(SUMPRODUCT(($D$4:$D$253=AM132)*($C$4:$C$253='F0 - Données générales'!$K$31)*($E$4:$E$253)*($F$4:$F$253)*($B$4:$B$253="0-3 ans"))+SUMPRODUCT(($D$257:$D$281=AM132)*($C$257:$C$281='F0 - Données générales'!$K$31)*($B$257:$B$281="0-3 ans")*($E$257:$E$281)*($F$257:$F$281)))/(SUMIFS('F3 - Relevé du personnel'!$E$4:$E$281,'F3 - Relevé du personnel'!$D$4:$D$281,$AM132,'F3 - Relevé du personnel'!$C$4:$C$281,'F0 - Données générales'!$K$31,'F3 - Relevé du personnel'!$B$4:$B$281,"0-3 ans")))</f>
        <v/>
      </c>
      <c r="BB132" s="760" t="s">
        <v>64</v>
      </c>
      <c r="BC132" s="761"/>
      <c r="BD132" s="13" t="s">
        <v>82</v>
      </c>
      <c r="BE132" s="758" t="s">
        <v>83</v>
      </c>
      <c r="BF132" s="759"/>
      <c r="BG132" s="45">
        <f>SUMIFS('F3 - Relevé du personnel'!$E$4:$E$281,'F3 - Relevé du personnel'!$D$4:$D$281,$BD132,'F3 - Relevé du personnel'!$C$4:$C$281,'F0 - Données générales'!$K$34)</f>
        <v>0</v>
      </c>
      <c r="BH132" s="259">
        <f>SUMIFS('F3 - Relevé du personnel'!$I$4:$I$281,'F3 - Relevé du personnel'!$D$4:$D$281,$BD132,'F3 - Relevé du personnel'!$C$4:$C$281,'F0 - Données générales'!$K$34)</f>
        <v>0</v>
      </c>
      <c r="BI132" s="259">
        <f>SUMIFS('F3 - Relevé du personnel'!$M$4:$M$281,'F3 - Relevé du personnel'!$D$4:$D$281,$BD132,'F3 - Relevé du personnel'!$C$4:$C$281,'F0 - Données générales'!$K$34)</f>
        <v>0</v>
      </c>
      <c r="BJ132" s="189">
        <f t="shared" si="87"/>
        <v>0</v>
      </c>
      <c r="BK132" s="259">
        <f>SUMIFS('F3 - Relevé du personnel'!$O$4:$O$281,'F3 - Relevé du personnel'!$D$4:$D$281,$BD132,'F3 - Relevé du personnel'!$C$4:$C$281,'F0 - Données générales'!$K$34)</f>
        <v>0</v>
      </c>
      <c r="BL132" s="259">
        <f>SUMIFS('F3 - Relevé du personnel'!$P$4:$P$281,'F3 - Relevé du personnel'!$D$4:$D$281,$BD132,'F3 - Relevé du personnel'!$C$4:$C$281,'F0 - Données générales'!$K$34)</f>
        <v>0</v>
      </c>
      <c r="BM132" s="259">
        <f>SUMIFS('F3 - Relevé du personnel'!$Q$4:$Q$281,'F3 - Relevé du personnel'!$D$4:$D$281,$BD132,'F3 - Relevé du personnel'!$C$4:$C$281,'F0 - Données générales'!$K$34)</f>
        <v>0</v>
      </c>
      <c r="BN132" s="48">
        <f t="shared" si="89"/>
        <v>0</v>
      </c>
      <c r="BO132" s="187" t="str">
        <f t="shared" si="88"/>
        <v/>
      </c>
      <c r="BP132" s="188" t="str">
        <f>IF(BG132=0,"",(SUMPRODUCT(($D$4:$D$253=BD132)*($C$4:$C$253='F0 - Données générales'!$K$34)*($E$4:$E$253)*($F$4:$F$253))+SUMPRODUCT(($D$257:$D$281=BD132)*($C$257:$C$281='F0 - Données générales'!$K$34)*($E$257:$E$281)*($F$257:$F$281)))/(SUMIFS('F3 - Relevé du personnel'!$E$4:$E$281,'F3 - Relevé du personnel'!$D$4:$D$281,$BD132,'F3 - Relevé du personnel'!$C$4:$C$281,'F0 - Données générales'!$K$34)))</f>
        <v/>
      </c>
      <c r="BS132" s="14"/>
      <c r="BT132" s="14"/>
      <c r="BU132" s="14"/>
      <c r="BV132" s="132"/>
    </row>
    <row r="133" spans="1:74" ht="15" customHeight="1" x14ac:dyDescent="0.3">
      <c r="A133" s="106">
        <v>130</v>
      </c>
      <c r="B133" s="324">
        <f>'F0 - Données générales'!$C$4</f>
        <v>7</v>
      </c>
      <c r="C133" s="106" t="s">
        <v>95</v>
      </c>
      <c r="D133" s="106"/>
      <c r="E133" s="107"/>
      <c r="F133" s="108"/>
      <c r="G133" s="109"/>
      <c r="H133" s="110">
        <f t="shared" ref="H133:H196" si="90">E133-G133/2076</f>
        <v>0</v>
      </c>
      <c r="I133" s="177"/>
      <c r="J133" s="118" t="str">
        <f>IF(OR(D133="",F133=""),"",(((HLOOKUP(D133,'Carrières et points'!$A$20:$AD$60,F133+2,FALSE)*'Carrières et points'!$C$7*'Carrières et points'!$C$9)+(HLOOKUP(D133,'Carrières et points'!$A$20:$AD$60,F133+2,FALSE)*'Carrières et points'!$C$13*'Carrières et points'!$C$15))*(1+'F0 - Données générales'!$I$4)+((HLOOKUP(D133,'Carrières et points'!$A$20:$AD$60,F133+2,FALSE)*'Carrières et points'!$C$7*'Carrières et points'!$C$9)+(HLOOKUP(D133,'Carrières et points'!$A$20:$AD$60,F133+2,FALSE)*'Carrières et points'!$C$13*'Carrières et points'!$C$15))/12*(1+'F0 - Données générales'!$L$13))*E133)</f>
        <v/>
      </c>
      <c r="K133" s="118" t="str">
        <f t="shared" ref="K133:K196" si="91">IF(OR(I133="",J133=""),"",IF(OR(J133&gt;1.05*I133,J133&lt;0.95*I133),"à justifier","ok"))</f>
        <v/>
      </c>
      <c r="L133" s="109"/>
      <c r="M133" s="177"/>
      <c r="N133" s="118" t="str">
        <f t="shared" ref="N133:N196" si="92">IF(I133="","",I133+M133)</f>
        <v/>
      </c>
      <c r="O133" s="177"/>
      <c r="P133" s="177"/>
      <c r="Q133" s="177"/>
      <c r="R133" s="255" t="str">
        <f t="shared" ref="R133:R196" si="93">IF(N133="","",N133-SUM(O133:Q133))</f>
        <v/>
      </c>
      <c r="S133" s="120"/>
      <c r="T133" s="742" t="s">
        <v>61</v>
      </c>
      <c r="U133" s="742"/>
      <c r="V133" s="26" t="s">
        <v>99</v>
      </c>
      <c r="W133" s="741"/>
      <c r="X133" s="741"/>
      <c r="Y133" s="181">
        <f>SUMIFS('F3 - Relevé du personnel'!$E$4:$E$281,'F3 - Relevé du personnel'!$D$4:$D$281,$V133,'F3 - Relevé du personnel'!$C$4:$C$281,'F0 - Données générales'!$K$31,'F3 - Relevé du personnel'!$B$4:$B$281,"8.3")</f>
        <v>0</v>
      </c>
      <c r="Z133" s="181">
        <f>SUMIFS('F3 - Relevé du personnel'!$H$4:$H$281,'F3 - Relevé du personnel'!$D$4:$D$281,$V133,'F3 - Relevé du personnel'!$C$4:$C$281,'F0 - Données générales'!$K$31,'F3 - Relevé du personnel'!$B$4:$B$281,"8.3")</f>
        <v>0</v>
      </c>
      <c r="AA133" s="256">
        <f>SUMIFS('F3 - Relevé du personnel'!$I$4:$I$281,'F3 - Relevé du personnel'!$D$4:$D$281,$V133,'F3 - Relevé du personnel'!$C$4:$C$281,'F0 - Données générales'!$K$31,'F3 - Relevé du personnel'!$B$4:$B$281,"8.3")</f>
        <v>0</v>
      </c>
      <c r="AB133" s="256">
        <f>SUMIFS('F3 - Relevé du personnel'!$M$4:$M$281,'F3 - Relevé du personnel'!$D$4:$D$281,$V133,'F3 - Relevé du personnel'!$C$4:$C$281,'F0 - Données générales'!$K$31,'F3 - Relevé du personnel'!$B$4:$B$281,"8.3")</f>
        <v>0</v>
      </c>
      <c r="AC133" s="196">
        <f t="shared" si="72"/>
        <v>0</v>
      </c>
      <c r="AD133" s="256">
        <f>SUMIFS('F3 - Relevé du personnel'!$O$4:$O$281,'F3 - Relevé du personnel'!$D$4:$D$281,$V133,'F3 - Relevé du personnel'!$C$4:$C$281,'F0 - Données générales'!$K$31,'F3 - Relevé du personnel'!$B$4:$B$281,"8.3")</f>
        <v>0</v>
      </c>
      <c r="AE133" s="256">
        <f>SUMIFS('F3 - Relevé du personnel'!$P$4:$P$281,'F3 - Relevé du personnel'!$D$4:$D$281,$V133,'F3 - Relevé du personnel'!$C$4:$C$281,'F0 - Données générales'!$K$31,'F3 - Relevé du personnel'!$B$4:$B$281,"8.3")</f>
        <v>0</v>
      </c>
      <c r="AF133" s="256">
        <f>SUMIFS('F3 - Relevé du personnel'!$Q$4:$Q$281,'F3 - Relevé du personnel'!$D$4:$D$281,$V133,'F3 - Relevé du personnel'!$C$4:$C$281,'F0 - Données générales'!$K$31,'F3 - Relevé du personnel'!$B$4:$B$281,"8.3")</f>
        <v>0</v>
      </c>
      <c r="AG133" s="182">
        <f t="shared" si="73"/>
        <v>0</v>
      </c>
      <c r="AH133" s="197" t="str">
        <f t="shared" si="74"/>
        <v/>
      </c>
      <c r="AI133" s="198" t="str">
        <f>IF(Y133=0,"",(SUMPRODUCT(($D$4:$D$253=V133)*($C$4:$C$253='F0 - Données générales'!$K$31)*($E$4:$E$253)*($F$4:$F$253)*($B$4:$B$253="8.3"))+SUMPRODUCT(($D$257:$D$281=V133)*($C$257:$C$281='F0 - Données générales'!$K$31)*($B$257:$B$281="8.3")*($E$257:$E$281)*($F$257:$F$281)))/(SUMIFS('F3 - Relevé du personnel'!$E$4:$E$281,'F3 - Relevé du personnel'!$D$4:$D$281,$V133,'F3 - Relevé du personnel'!$C$4:$C$281,'F0 - Données générales'!$K$31,'F3 - Relevé du personnel'!$B$4:$B$281,"8.3")))</f>
        <v/>
      </c>
      <c r="AK133" s="742" t="s">
        <v>61</v>
      </c>
      <c r="AL133" s="742"/>
      <c r="AM133" s="26" t="s">
        <v>99</v>
      </c>
      <c r="AN133" s="741"/>
      <c r="AO133" s="741"/>
      <c r="AP133" s="181">
        <f>SUMIFS('F3 - Relevé du personnel'!$E$4:$E$281,'F3 - Relevé du personnel'!$D$4:$D$281,$AM133,'F3 - Relevé du personnel'!$C$4:$C$281,'F0 - Données générales'!$K$31,'F3 - Relevé du personnel'!$B$4:$B$281,"0-3 ans")</f>
        <v>0</v>
      </c>
      <c r="AQ133" s="181">
        <f>SUMIFS('F3 - Relevé du personnel'!$H$4:$H$281,'F3 - Relevé du personnel'!$D$4:$D$281,$AM133,'F3 - Relevé du personnel'!$C$4:$C$281,'F0 - Données générales'!$K$31,'F3 - Relevé du personnel'!$B$4:$B$281,"0-3 ans")</f>
        <v>0</v>
      </c>
      <c r="AR133" s="256">
        <f>SUMIFS('F3 - Relevé du personnel'!$I$4:$I$281,'F3 - Relevé du personnel'!$D$4:$D$281,$AM133,'F3 - Relevé du personnel'!$C$4:$C$281,'F0 - Données générales'!$K$31,'F3 - Relevé du personnel'!$B$4:$B$281,"0-3 ans")</f>
        <v>0</v>
      </c>
      <c r="AS133" s="256">
        <f>SUMIFS('F3 - Relevé du personnel'!$M$4:$M$281,'F3 - Relevé du personnel'!$D$4:$D$281,$AM133,'F3 - Relevé du personnel'!$C$4:$C$281,'F0 - Données générales'!$K$31,'F3 - Relevé du personnel'!$B$4:$B$281,"0-3 ans")</f>
        <v>0</v>
      </c>
      <c r="AT133" s="196">
        <f t="shared" si="85"/>
        <v>0</v>
      </c>
      <c r="AU133" s="256">
        <f>SUMIFS('F3 - Relevé du personnel'!$O$4:$O$281,'F3 - Relevé du personnel'!$D$4:$D$281,$AM133,'F3 - Relevé du personnel'!$C$4:$C$281,'F0 - Données générales'!$K$31,'F3 - Relevé du personnel'!$B$4:$B$281,"0-3 ans")</f>
        <v>0</v>
      </c>
      <c r="AV133" s="256">
        <f>SUMIFS('F3 - Relevé du personnel'!$P$4:$P$281,'F3 - Relevé du personnel'!$D$4:$D$281,$AM133,'F3 - Relevé du personnel'!$C$4:$C$281,'F0 - Données générales'!$K$31,'F3 - Relevé du personnel'!$B$4:$B$281,"0-3 ans")</f>
        <v>0</v>
      </c>
      <c r="AW133" s="256">
        <f>SUMIFS('F3 - Relevé du personnel'!$Q$4:$Q$281,'F3 - Relevé du personnel'!$D$4:$D$281,$AM133,'F3 - Relevé du personnel'!$C$4:$C$281,'F0 - Données générales'!$K$31,'F3 - Relevé du personnel'!$B$4:$B$281,"0-3 ans")</f>
        <v>0</v>
      </c>
      <c r="AX133" s="182">
        <f t="shared" si="86"/>
        <v>0</v>
      </c>
      <c r="AY133" s="197" t="str">
        <f t="shared" si="79"/>
        <v/>
      </c>
      <c r="AZ133" s="198" t="str">
        <f>IF(AP133=0,"",(SUMPRODUCT(($D$4:$D$253=AM133)*($C$4:$C$253='F0 - Données générales'!$K$31)*($E$4:$E$253)*($F$4:$F$253)*($B$4:$B$253="0-3 ans"))+SUMPRODUCT(($D$257:$D$281=AM133)*($C$257:$C$281='F0 - Données générales'!$K$31)*($B$257:$B$281="0-3 ans")*($E$257:$E$281)*($F$257:$F$281)))/(SUMIFS('F3 - Relevé du personnel'!$E$4:$E$281,'F3 - Relevé du personnel'!$D$4:$D$281,$AM133,'F3 - Relevé du personnel'!$C$4:$C$281,'F0 - Données générales'!$K$31,'F3 - Relevé du personnel'!$B$4:$B$281,"0-3 ans")))</f>
        <v/>
      </c>
      <c r="BB133" s="760" t="s">
        <v>65</v>
      </c>
      <c r="BC133" s="761"/>
      <c r="BD133" s="13" t="s">
        <v>84</v>
      </c>
      <c r="BE133" s="758" t="s">
        <v>85</v>
      </c>
      <c r="BF133" s="759"/>
      <c r="BG133" s="45">
        <f>SUMIFS('F3 - Relevé du personnel'!$E$4:$E$281,'F3 - Relevé du personnel'!$D$4:$D$281,$BD133,'F3 - Relevé du personnel'!$C$4:$C$281,'F0 - Données générales'!$K$34)</f>
        <v>0</v>
      </c>
      <c r="BH133" s="259">
        <f>SUMIFS('F3 - Relevé du personnel'!$I$4:$I$281,'F3 - Relevé du personnel'!$D$4:$D$281,$BD133,'F3 - Relevé du personnel'!$C$4:$C$281,'F0 - Données générales'!$K$34)</f>
        <v>0</v>
      </c>
      <c r="BI133" s="259">
        <f>SUMIFS('F3 - Relevé du personnel'!$M$4:$M$281,'F3 - Relevé du personnel'!$D$4:$D$281,$BD133,'F3 - Relevé du personnel'!$C$4:$C$281,'F0 - Données générales'!$K$34)</f>
        <v>0</v>
      </c>
      <c r="BJ133" s="189">
        <f t="shared" si="87"/>
        <v>0</v>
      </c>
      <c r="BK133" s="259">
        <f>SUMIFS('F3 - Relevé du personnel'!$O$4:$O$281,'F3 - Relevé du personnel'!$D$4:$D$281,$BD133,'F3 - Relevé du personnel'!$C$4:$C$281,'F0 - Données générales'!$K$34)</f>
        <v>0</v>
      </c>
      <c r="BL133" s="259">
        <f>SUMIFS('F3 - Relevé du personnel'!$P$4:$P$281,'F3 - Relevé du personnel'!$D$4:$D$281,$BD133,'F3 - Relevé du personnel'!$C$4:$C$281,'F0 - Données générales'!$K$34)</f>
        <v>0</v>
      </c>
      <c r="BM133" s="259">
        <f>SUMIFS('F3 - Relevé du personnel'!$Q$4:$Q$281,'F3 - Relevé du personnel'!$D$4:$D$281,$BD133,'F3 - Relevé du personnel'!$C$4:$C$281,'F0 - Données générales'!$K$34)</f>
        <v>0</v>
      </c>
      <c r="BN133" s="48">
        <f t="shared" si="89"/>
        <v>0</v>
      </c>
      <c r="BO133" s="187" t="str">
        <f t="shared" si="88"/>
        <v/>
      </c>
      <c r="BP133" s="188" t="str">
        <f>IF(BG133=0,"",(SUMPRODUCT(($D$4:$D$253=BD133)*($C$4:$C$253='F0 - Données générales'!$K$34)*($E$4:$E$253)*($F$4:$F$253))+SUMPRODUCT(($D$257:$D$281=BD133)*($C$257:$C$281='F0 - Données générales'!$K$34)*($E$257:$E$281)*($F$257:$F$281)))/(SUMIFS('F3 - Relevé du personnel'!$E$4:$E$281,'F3 - Relevé du personnel'!$D$4:$D$281,$BD133,'F3 - Relevé du personnel'!$C$4:$C$281,'F0 - Données générales'!$K$34)))</f>
        <v/>
      </c>
      <c r="BS133" s="14"/>
      <c r="BT133" s="14"/>
      <c r="BU133" s="14"/>
      <c r="BV133" s="14"/>
    </row>
    <row r="134" spans="1:74" ht="15" customHeight="1" x14ac:dyDescent="0.3">
      <c r="A134" s="106">
        <v>131</v>
      </c>
      <c r="B134" s="324">
        <f>'F0 - Données générales'!$C$4</f>
        <v>7</v>
      </c>
      <c r="C134" s="106" t="s">
        <v>95</v>
      </c>
      <c r="D134" s="106"/>
      <c r="E134" s="107"/>
      <c r="F134" s="108"/>
      <c r="G134" s="109"/>
      <c r="H134" s="110">
        <f t="shared" si="90"/>
        <v>0</v>
      </c>
      <c r="I134" s="177"/>
      <c r="J134" s="118" t="str">
        <f>IF(OR(D134="",F134=""),"",(((HLOOKUP(D134,'Carrières et points'!$A$20:$AD$60,F134+2,FALSE)*'Carrières et points'!$C$7*'Carrières et points'!$C$9)+(HLOOKUP(D134,'Carrières et points'!$A$20:$AD$60,F134+2,FALSE)*'Carrières et points'!$C$13*'Carrières et points'!$C$15))*(1+'F0 - Données générales'!$I$4)+((HLOOKUP(D134,'Carrières et points'!$A$20:$AD$60,F134+2,FALSE)*'Carrières et points'!$C$7*'Carrières et points'!$C$9)+(HLOOKUP(D134,'Carrières et points'!$A$20:$AD$60,F134+2,FALSE)*'Carrières et points'!$C$13*'Carrières et points'!$C$15))/12*(1+'F0 - Données générales'!$L$13))*E134)</f>
        <v/>
      </c>
      <c r="K134" s="118" t="str">
        <f t="shared" si="91"/>
        <v/>
      </c>
      <c r="L134" s="109"/>
      <c r="M134" s="177"/>
      <c r="N134" s="118" t="str">
        <f t="shared" si="92"/>
        <v/>
      </c>
      <c r="O134" s="177"/>
      <c r="P134" s="177"/>
      <c r="Q134" s="177"/>
      <c r="R134" s="255" t="str">
        <f t="shared" si="93"/>
        <v/>
      </c>
      <c r="S134" s="120"/>
      <c r="T134" s="742" t="s">
        <v>61</v>
      </c>
      <c r="U134" s="742"/>
      <c r="V134" s="26" t="s">
        <v>100</v>
      </c>
      <c r="W134" s="741"/>
      <c r="X134" s="741"/>
      <c r="Y134" s="181">
        <f>SUMIFS('F3 - Relevé du personnel'!$E$4:$E$281,'F3 - Relevé du personnel'!$D$4:$D$281,$V134,'F3 - Relevé du personnel'!$C$4:$C$281,'F0 - Données générales'!$K$31,'F3 - Relevé du personnel'!$B$4:$B$281,"8.3")</f>
        <v>0</v>
      </c>
      <c r="Z134" s="181">
        <f>SUMIFS('F3 - Relevé du personnel'!$H$4:$H$281,'F3 - Relevé du personnel'!$D$4:$D$281,$V134,'F3 - Relevé du personnel'!$C$4:$C$281,'F0 - Données générales'!$K$31,'F3 - Relevé du personnel'!$B$4:$B$281,"8.3")</f>
        <v>0</v>
      </c>
      <c r="AA134" s="256">
        <f>SUMIFS('F3 - Relevé du personnel'!$I$4:$I$281,'F3 - Relevé du personnel'!$D$4:$D$281,$V134,'F3 - Relevé du personnel'!$C$4:$C$281,'F0 - Données générales'!$K$31,'F3 - Relevé du personnel'!$B$4:$B$281,"8.3")</f>
        <v>0</v>
      </c>
      <c r="AB134" s="256">
        <f>SUMIFS('F3 - Relevé du personnel'!$M$4:$M$281,'F3 - Relevé du personnel'!$D$4:$D$281,$V134,'F3 - Relevé du personnel'!$C$4:$C$281,'F0 - Données générales'!$K$31,'F3 - Relevé du personnel'!$B$4:$B$281,"8.3")</f>
        <v>0</v>
      </c>
      <c r="AC134" s="196">
        <f t="shared" si="72"/>
        <v>0</v>
      </c>
      <c r="AD134" s="256">
        <f>SUMIFS('F3 - Relevé du personnel'!$O$4:$O$281,'F3 - Relevé du personnel'!$D$4:$D$281,$V134,'F3 - Relevé du personnel'!$C$4:$C$281,'F0 - Données générales'!$K$31,'F3 - Relevé du personnel'!$B$4:$B$281,"8.3")</f>
        <v>0</v>
      </c>
      <c r="AE134" s="256">
        <f>SUMIFS('F3 - Relevé du personnel'!$P$4:$P$281,'F3 - Relevé du personnel'!$D$4:$D$281,$V134,'F3 - Relevé du personnel'!$C$4:$C$281,'F0 - Données générales'!$K$31,'F3 - Relevé du personnel'!$B$4:$B$281,"8.3")</f>
        <v>0</v>
      </c>
      <c r="AF134" s="256">
        <f>SUMIFS('F3 - Relevé du personnel'!$Q$4:$Q$281,'F3 - Relevé du personnel'!$D$4:$D$281,$V134,'F3 - Relevé du personnel'!$C$4:$C$281,'F0 - Données générales'!$K$31,'F3 - Relevé du personnel'!$B$4:$B$281,"8.3")</f>
        <v>0</v>
      </c>
      <c r="AG134" s="182">
        <f t="shared" si="73"/>
        <v>0</v>
      </c>
      <c r="AH134" s="197" t="str">
        <f t="shared" si="74"/>
        <v/>
      </c>
      <c r="AI134" s="198" t="str">
        <f>IF(Y134=0,"",(SUMPRODUCT(($D$4:$D$253=V134)*($C$4:$C$253='F0 - Données générales'!$K$31)*($E$4:$E$253)*($F$4:$F$253)*($B$4:$B$253="8.3"))+SUMPRODUCT(($D$257:$D$281=V134)*($C$257:$C$281='F0 - Données générales'!$K$31)*($B$257:$B$281="8.3")*($E$257:$E$281)*($F$257:$F$281)))/(SUMIFS('F3 - Relevé du personnel'!$E$4:$E$281,'F3 - Relevé du personnel'!$D$4:$D$281,$V134,'F3 - Relevé du personnel'!$C$4:$C$281,'F0 - Données générales'!$K$31,'F3 - Relevé du personnel'!$B$4:$B$281,"8.3")))</f>
        <v/>
      </c>
      <c r="AK134" s="742" t="s">
        <v>61</v>
      </c>
      <c r="AL134" s="742"/>
      <c r="AM134" s="26" t="s">
        <v>100</v>
      </c>
      <c r="AN134" s="741"/>
      <c r="AO134" s="741"/>
      <c r="AP134" s="181">
        <f>SUMIFS('F3 - Relevé du personnel'!$E$4:$E$281,'F3 - Relevé du personnel'!$D$4:$D$281,$AM134,'F3 - Relevé du personnel'!$C$4:$C$281,'F0 - Données générales'!$K$31,'F3 - Relevé du personnel'!$B$4:$B$281,"0-3 ans")</f>
        <v>0</v>
      </c>
      <c r="AQ134" s="181">
        <f>SUMIFS('F3 - Relevé du personnel'!$H$4:$H$281,'F3 - Relevé du personnel'!$D$4:$D$281,$AM134,'F3 - Relevé du personnel'!$C$4:$C$281,'F0 - Données générales'!$K$31,'F3 - Relevé du personnel'!$B$4:$B$281,"0-3 ans")</f>
        <v>0</v>
      </c>
      <c r="AR134" s="256">
        <f>SUMIFS('F3 - Relevé du personnel'!$I$4:$I$281,'F3 - Relevé du personnel'!$D$4:$D$281,$AM134,'F3 - Relevé du personnel'!$C$4:$C$281,'F0 - Données générales'!$K$31,'F3 - Relevé du personnel'!$B$4:$B$281,"0-3 ans")</f>
        <v>0</v>
      </c>
      <c r="AS134" s="256">
        <f>SUMIFS('F3 - Relevé du personnel'!$M$4:$M$281,'F3 - Relevé du personnel'!$D$4:$D$281,$AM134,'F3 - Relevé du personnel'!$C$4:$C$281,'F0 - Données générales'!$K$31,'F3 - Relevé du personnel'!$B$4:$B$281,"0-3 ans")</f>
        <v>0</v>
      </c>
      <c r="AT134" s="196">
        <f t="shared" si="85"/>
        <v>0</v>
      </c>
      <c r="AU134" s="256">
        <f>SUMIFS('F3 - Relevé du personnel'!$O$4:$O$281,'F3 - Relevé du personnel'!$D$4:$D$281,$AM134,'F3 - Relevé du personnel'!$C$4:$C$281,'F0 - Données générales'!$K$31,'F3 - Relevé du personnel'!$B$4:$B$281,"0-3 ans")</f>
        <v>0</v>
      </c>
      <c r="AV134" s="256">
        <f>SUMIFS('F3 - Relevé du personnel'!$P$4:$P$281,'F3 - Relevé du personnel'!$D$4:$D$281,$AM134,'F3 - Relevé du personnel'!$C$4:$C$281,'F0 - Données générales'!$K$31,'F3 - Relevé du personnel'!$B$4:$B$281,"0-3 ans")</f>
        <v>0</v>
      </c>
      <c r="AW134" s="256">
        <f>SUMIFS('F3 - Relevé du personnel'!$Q$4:$Q$281,'F3 - Relevé du personnel'!$D$4:$D$281,$AM134,'F3 - Relevé du personnel'!$C$4:$C$281,'F0 - Données générales'!$K$31,'F3 - Relevé du personnel'!$B$4:$B$281,"0-3 ans")</f>
        <v>0</v>
      </c>
      <c r="AX134" s="182">
        <f t="shared" si="86"/>
        <v>0</v>
      </c>
      <c r="AY134" s="197" t="str">
        <f t="shared" si="79"/>
        <v/>
      </c>
      <c r="AZ134" s="198" t="str">
        <f>IF(AP134=0,"",(SUMPRODUCT(($D$4:$D$253=AM134)*($C$4:$C$253='F0 - Données générales'!$K$31)*($E$4:$E$253)*($F$4:$F$253)*($B$4:$B$253="0-3 ans"))+SUMPRODUCT(($D$257:$D$281=AM134)*($C$257:$C$281='F0 - Données générales'!$K$31)*($B$257:$B$281="0-3 ans")*($E$257:$E$281)*($F$257:$F$281)))/(SUMIFS('F3 - Relevé du personnel'!$E$4:$E$281,'F3 - Relevé du personnel'!$D$4:$D$281,$AM134,'F3 - Relevé du personnel'!$C$4:$C$281,'F0 - Données générales'!$K$31,'F3 - Relevé du personnel'!$B$4:$B$281,"0-3 ans")))</f>
        <v/>
      </c>
      <c r="BB134" s="760" t="s">
        <v>79</v>
      </c>
      <c r="BC134" s="761"/>
      <c r="BD134" s="13" t="s">
        <v>86</v>
      </c>
      <c r="BE134" s="758" t="s">
        <v>87</v>
      </c>
      <c r="BF134" s="759"/>
      <c r="BG134" s="45">
        <f>SUMIFS('F3 - Relevé du personnel'!$E$4:$E$281,'F3 - Relevé du personnel'!$D$4:$D$281,$BD134,'F3 - Relevé du personnel'!$C$4:$C$281,'F0 - Données générales'!$K$34)</f>
        <v>0</v>
      </c>
      <c r="BH134" s="259">
        <f>SUMIFS('F3 - Relevé du personnel'!$I$4:$I$281,'F3 - Relevé du personnel'!$D$4:$D$281,$BD134,'F3 - Relevé du personnel'!$C$4:$C$281,'F0 - Données générales'!$K$34)</f>
        <v>0</v>
      </c>
      <c r="BI134" s="259">
        <f>SUMIFS('F3 - Relevé du personnel'!$M$4:$M$281,'F3 - Relevé du personnel'!$D$4:$D$281,$BD134,'F3 - Relevé du personnel'!$C$4:$C$281,'F0 - Données générales'!$K$34)</f>
        <v>0</v>
      </c>
      <c r="BJ134" s="189">
        <f t="shared" si="87"/>
        <v>0</v>
      </c>
      <c r="BK134" s="259">
        <f>SUMIFS('F3 - Relevé du personnel'!$O$4:$O$281,'F3 - Relevé du personnel'!$D$4:$D$281,$BD134,'F3 - Relevé du personnel'!$C$4:$C$281,'F0 - Données générales'!$K$34)</f>
        <v>0</v>
      </c>
      <c r="BL134" s="259">
        <f>SUMIFS('F3 - Relevé du personnel'!$P$4:$P$281,'F3 - Relevé du personnel'!$D$4:$D$281,$BD134,'F3 - Relevé du personnel'!$C$4:$C$281,'F0 - Données générales'!$K$34)</f>
        <v>0</v>
      </c>
      <c r="BM134" s="259">
        <f>SUMIFS('F3 - Relevé du personnel'!$Q$4:$Q$281,'F3 - Relevé du personnel'!$D$4:$D$281,$BD134,'F3 - Relevé du personnel'!$C$4:$C$281,'F0 - Données générales'!$K$34)</f>
        <v>0</v>
      </c>
      <c r="BN134" s="48">
        <f t="shared" si="89"/>
        <v>0</v>
      </c>
      <c r="BO134" s="187" t="str">
        <f t="shared" si="88"/>
        <v/>
      </c>
      <c r="BP134" s="188" t="str">
        <f>IF(BG134=0,"",(SUMPRODUCT(($D$4:$D$253=BD134)*($C$4:$C$253='F0 - Données générales'!$K$34)*($E$4:$E$253)*($F$4:$F$253))+SUMPRODUCT(($D$257:$D$281=BD134)*($C$257:$C$281='F0 - Données générales'!$K$34)*($E$257:$E$281)*($F$257:$F$281)))/(SUMIFS('F3 - Relevé du personnel'!$E$4:$E$281,'F3 - Relevé du personnel'!$D$4:$D$281,$BD134,'F3 - Relevé du personnel'!$C$4:$C$281,'F0 - Données générales'!$K$34)))</f>
        <v/>
      </c>
      <c r="BS134" s="14"/>
      <c r="BT134" s="14"/>
      <c r="BU134" s="14"/>
    </row>
    <row r="135" spans="1:74" ht="15" customHeight="1" x14ac:dyDescent="0.3">
      <c r="A135" s="106">
        <v>132</v>
      </c>
      <c r="B135" s="324">
        <f>'F0 - Données générales'!$C$4</f>
        <v>7</v>
      </c>
      <c r="C135" s="106" t="s">
        <v>95</v>
      </c>
      <c r="D135" s="106"/>
      <c r="E135" s="107"/>
      <c r="F135" s="108"/>
      <c r="G135" s="109"/>
      <c r="H135" s="110">
        <f t="shared" si="90"/>
        <v>0</v>
      </c>
      <c r="I135" s="177"/>
      <c r="J135" s="118" t="str">
        <f>IF(OR(D135="",F135=""),"",(((HLOOKUP(D135,'Carrières et points'!$A$20:$AD$60,F135+2,FALSE)*'Carrières et points'!$C$7*'Carrières et points'!$C$9)+(HLOOKUP(D135,'Carrières et points'!$A$20:$AD$60,F135+2,FALSE)*'Carrières et points'!$C$13*'Carrières et points'!$C$15))*(1+'F0 - Données générales'!$I$4)+((HLOOKUP(D135,'Carrières et points'!$A$20:$AD$60,F135+2,FALSE)*'Carrières et points'!$C$7*'Carrières et points'!$C$9)+(HLOOKUP(D135,'Carrières et points'!$A$20:$AD$60,F135+2,FALSE)*'Carrières et points'!$C$13*'Carrières et points'!$C$15))/12*(1+'F0 - Données générales'!$L$13))*E135)</f>
        <v/>
      </c>
      <c r="K135" s="118" t="str">
        <f t="shared" si="91"/>
        <v/>
      </c>
      <c r="L135" s="109"/>
      <c r="M135" s="177"/>
      <c r="N135" s="118" t="str">
        <f t="shared" si="92"/>
        <v/>
      </c>
      <c r="O135" s="177"/>
      <c r="P135" s="177"/>
      <c r="Q135" s="177"/>
      <c r="R135" s="255" t="str">
        <f t="shared" si="93"/>
        <v/>
      </c>
      <c r="S135" s="120"/>
      <c r="T135" s="743"/>
      <c r="U135" s="743"/>
      <c r="V135" s="749" t="s">
        <v>168</v>
      </c>
      <c r="W135" s="749"/>
      <c r="X135" s="749"/>
      <c r="Y135" s="199">
        <f>SUM(Y125:Y134)</f>
        <v>0</v>
      </c>
      <c r="Z135" s="199">
        <f>SUM(Z125:Z134)</f>
        <v>0</v>
      </c>
      <c r="AA135" s="200">
        <f>SUM(AA125:AA134)</f>
        <v>0</v>
      </c>
      <c r="AB135" s="200">
        <f>SUM(AB125:AB134)</f>
        <v>0</v>
      </c>
      <c r="AC135" s="200">
        <f t="shared" si="72"/>
        <v>0</v>
      </c>
      <c r="AD135" s="200">
        <f>SUM(AD125:AD134)</f>
        <v>0</v>
      </c>
      <c r="AE135" s="200">
        <f>SUM(AE125:AE134)</f>
        <v>0</v>
      </c>
      <c r="AF135" s="200">
        <f>SUM(AF125:AF134)</f>
        <v>0</v>
      </c>
      <c r="AG135" s="201">
        <f t="shared" si="73"/>
        <v>0</v>
      </c>
      <c r="AH135" s="201" t="str">
        <f t="shared" si="74"/>
        <v/>
      </c>
      <c r="AI135" s="202"/>
      <c r="AK135" s="743"/>
      <c r="AL135" s="743"/>
      <c r="AM135" s="749" t="s">
        <v>168</v>
      </c>
      <c r="AN135" s="749"/>
      <c r="AO135" s="749"/>
      <c r="AP135" s="199">
        <f>SUM(AP125:AP134)</f>
        <v>0</v>
      </c>
      <c r="AQ135" s="199">
        <f>SUM(AQ125:AQ134)</f>
        <v>0</v>
      </c>
      <c r="AR135" s="200">
        <f>SUM(AR125:AR134)</f>
        <v>0</v>
      </c>
      <c r="AS135" s="200">
        <f>SUM(AS125:AS134)</f>
        <v>0</v>
      </c>
      <c r="AT135" s="200">
        <f>(AR135+AS135)</f>
        <v>0</v>
      </c>
      <c r="AU135" s="200">
        <f>SUM(AU125:AU134)</f>
        <v>0</v>
      </c>
      <c r="AV135" s="200">
        <f>SUM(AV125:AV134)</f>
        <v>0</v>
      </c>
      <c r="AW135" s="200">
        <f>SUM(AW125:AW134)</f>
        <v>0</v>
      </c>
      <c r="AX135" s="201">
        <f>AR135+AS135-SUM(AU135:AW135)</f>
        <v>0</v>
      </c>
      <c r="AY135" s="201" t="str">
        <f t="shared" si="79"/>
        <v/>
      </c>
      <c r="AZ135" s="202"/>
      <c r="BB135" s="760" t="s">
        <v>79</v>
      </c>
      <c r="BC135" s="761"/>
      <c r="BD135" s="13" t="s">
        <v>88</v>
      </c>
      <c r="BE135" s="758" t="s">
        <v>89</v>
      </c>
      <c r="BF135" s="759"/>
      <c r="BG135" s="45">
        <f>SUMIFS('F3 - Relevé du personnel'!$E$4:$E$281,'F3 - Relevé du personnel'!$D$4:$D$281,$BD135,'F3 - Relevé du personnel'!$C$4:$C$281,'F0 - Données générales'!$K$34)</f>
        <v>0</v>
      </c>
      <c r="BH135" s="259">
        <f>SUMIFS('F3 - Relevé du personnel'!$I$4:$I$281,'F3 - Relevé du personnel'!$D$4:$D$281,$BD135,'F3 - Relevé du personnel'!$C$4:$C$281,'F0 - Données générales'!$K$34)</f>
        <v>0</v>
      </c>
      <c r="BI135" s="259">
        <f>SUMIFS('F3 - Relevé du personnel'!$M$4:$M$281,'F3 - Relevé du personnel'!$D$4:$D$281,$BD135,'F3 - Relevé du personnel'!$C$4:$C$281,'F0 - Données générales'!$K$34)</f>
        <v>0</v>
      </c>
      <c r="BJ135" s="189">
        <f t="shared" si="87"/>
        <v>0</v>
      </c>
      <c r="BK135" s="259">
        <f>SUMIFS('F3 - Relevé du personnel'!$O$4:$O$281,'F3 - Relevé du personnel'!$D$4:$D$281,$BD135,'F3 - Relevé du personnel'!$C$4:$C$281,'F0 - Données générales'!$K$34)</f>
        <v>0</v>
      </c>
      <c r="BL135" s="259">
        <f>SUMIFS('F3 - Relevé du personnel'!$P$4:$P$281,'F3 - Relevé du personnel'!$D$4:$D$281,$BD135,'F3 - Relevé du personnel'!$C$4:$C$281,'F0 - Données générales'!$K$34)</f>
        <v>0</v>
      </c>
      <c r="BM135" s="259">
        <f>SUMIFS('F3 - Relevé du personnel'!$Q$4:$Q$281,'F3 - Relevé du personnel'!$D$4:$D$281,$BD135,'F3 - Relevé du personnel'!$C$4:$C$281,'F0 - Données générales'!$K$34)</f>
        <v>0</v>
      </c>
      <c r="BN135" s="48">
        <f t="shared" si="89"/>
        <v>0</v>
      </c>
      <c r="BO135" s="187" t="str">
        <f t="shared" si="88"/>
        <v/>
      </c>
      <c r="BP135" s="188" t="str">
        <f>IF(BG135=0,"",(SUMPRODUCT(($D$4:$D$253=BD135)*($C$4:$C$253='F0 - Données générales'!$K$34)*($E$4:$E$253)*($F$4:$F$253))+SUMPRODUCT(($D$257:$D$281=BD135)*($C$257:$C$281='F0 - Données générales'!$K$34)*($E$257:$E$281)*($F$257:$F$281)))/(SUMIFS('F3 - Relevé du personnel'!$E$4:$E$281,'F3 - Relevé du personnel'!$D$4:$D$281,$BD135,'F3 - Relevé du personnel'!$C$4:$C$281,'F0 - Données générales'!$K$34)))</f>
        <v/>
      </c>
      <c r="BS135" s="14"/>
      <c r="BT135" s="14"/>
      <c r="BU135" s="14"/>
      <c r="BV135" s="14"/>
    </row>
    <row r="136" spans="1:74" ht="15" customHeight="1" x14ac:dyDescent="0.3">
      <c r="A136" s="106">
        <v>133</v>
      </c>
      <c r="B136" s="324">
        <f>'F0 - Données générales'!$C$4</f>
        <v>7</v>
      </c>
      <c r="C136" s="106" t="s">
        <v>95</v>
      </c>
      <c r="D136" s="106"/>
      <c r="E136" s="107"/>
      <c r="F136" s="108"/>
      <c r="G136" s="109"/>
      <c r="H136" s="110">
        <f t="shared" si="90"/>
        <v>0</v>
      </c>
      <c r="I136" s="177"/>
      <c r="J136" s="118" t="str">
        <f>IF(OR(D136="",F136=""),"",(((HLOOKUP(D136,'Carrières et points'!$A$20:$AD$60,F136+2,FALSE)*'Carrières et points'!$C$7*'Carrières et points'!$C$9)+(HLOOKUP(D136,'Carrières et points'!$A$20:$AD$60,F136+2,FALSE)*'Carrières et points'!$C$13*'Carrières et points'!$C$15))*(1+'F0 - Données générales'!$I$4)+((HLOOKUP(D136,'Carrières et points'!$A$20:$AD$60,F136+2,FALSE)*'Carrières et points'!$C$7*'Carrières et points'!$C$9)+(HLOOKUP(D136,'Carrières et points'!$A$20:$AD$60,F136+2,FALSE)*'Carrières et points'!$C$13*'Carrières et points'!$C$15))/12*(1+'F0 - Données générales'!$L$13))*E136)</f>
        <v/>
      </c>
      <c r="K136" s="118" t="str">
        <f t="shared" si="91"/>
        <v/>
      </c>
      <c r="L136" s="109"/>
      <c r="M136" s="177"/>
      <c r="N136" s="118" t="str">
        <f t="shared" si="92"/>
        <v/>
      </c>
      <c r="O136" s="177"/>
      <c r="P136" s="177"/>
      <c r="Q136" s="177"/>
      <c r="R136" s="255" t="str">
        <f t="shared" si="93"/>
        <v/>
      </c>
      <c r="S136" s="120"/>
      <c r="T136" s="750" t="s">
        <v>57</v>
      </c>
      <c r="U136" s="750"/>
      <c r="V136" s="750"/>
      <c r="W136" s="750"/>
      <c r="X136" s="750"/>
      <c r="Y136" s="183">
        <f t="shared" ref="Y136:AG136" si="94">Y115+Y122+Y124+Y135</f>
        <v>0</v>
      </c>
      <c r="Z136" s="183">
        <f t="shared" si="94"/>
        <v>0</v>
      </c>
      <c r="AA136" s="184">
        <f t="shared" si="94"/>
        <v>0</v>
      </c>
      <c r="AB136" s="184">
        <f t="shared" si="94"/>
        <v>0</v>
      </c>
      <c r="AC136" s="184">
        <f t="shared" si="94"/>
        <v>0</v>
      </c>
      <c r="AD136" s="184">
        <f t="shared" si="94"/>
        <v>0</v>
      </c>
      <c r="AE136" s="184">
        <f t="shared" si="94"/>
        <v>0</v>
      </c>
      <c r="AF136" s="184">
        <f t="shared" si="94"/>
        <v>0</v>
      </c>
      <c r="AG136" s="185">
        <f t="shared" si="94"/>
        <v>0</v>
      </c>
      <c r="AH136" s="185" t="str">
        <f t="shared" si="74"/>
        <v/>
      </c>
      <c r="AI136" s="323" t="str">
        <f>IF(Y136=0,"",(SUMPRODUCT(($C$4:$C$253='F0 - Données générales'!$K$31)*($E$4:$E$253)*($F$4:$F$253)*($B$4:$B$253="8.3"))+SUMPRODUCT(($C$257:$C$281='F0 - Données générales'!$K$31)*($B$257:$B$281="8.3")*($E$257:$E$281)*($F$257:$F$281)))/(SUMIFS('F3 - Relevé du personnel'!$E$4:$E$281,'F3 - Relevé du personnel'!$C$4:$C$281,'F0 - Données générales'!$K$31,'F3 - Relevé du personnel'!$B$4:$B$281,"8.3")))</f>
        <v/>
      </c>
      <c r="AK136" s="750" t="s">
        <v>57</v>
      </c>
      <c r="AL136" s="750"/>
      <c r="AM136" s="750"/>
      <c r="AN136" s="750"/>
      <c r="AO136" s="750"/>
      <c r="AP136" s="183">
        <f t="shared" ref="AP136:AX136" si="95">AP115+AP122+AP124+AP135</f>
        <v>0</v>
      </c>
      <c r="AQ136" s="183">
        <f t="shared" si="95"/>
        <v>0</v>
      </c>
      <c r="AR136" s="184">
        <f t="shared" si="95"/>
        <v>0</v>
      </c>
      <c r="AS136" s="184">
        <f t="shared" si="95"/>
        <v>0</v>
      </c>
      <c r="AT136" s="184">
        <f t="shared" si="95"/>
        <v>0</v>
      </c>
      <c r="AU136" s="184">
        <f t="shared" si="95"/>
        <v>0</v>
      </c>
      <c r="AV136" s="184">
        <f t="shared" si="95"/>
        <v>0</v>
      </c>
      <c r="AW136" s="184">
        <f t="shared" si="95"/>
        <v>0</v>
      </c>
      <c r="AX136" s="185">
        <f t="shared" si="95"/>
        <v>0</v>
      </c>
      <c r="AY136" s="185" t="str">
        <f t="shared" si="79"/>
        <v/>
      </c>
      <c r="AZ136" s="186" t="str">
        <f>IF(AP136=0,"",(SUMPRODUCT(($C$4:$C$253='F0 - Données générales'!$K$31)*($E$4:$E$253)*($F$4:$F$253)*($B$4:$B$253="0-3 ans"))+SUMPRODUCT(($C$257:$C$281='F0 - Données générales'!$K$31)*($B$257:$B$281="0-3 ans")*($E$257:$E$281)*($F$257:$F$281)))/(SUMIFS('F3 - Relevé du personnel'!$E$4:$E$281,'F3 - Relevé du personnel'!$C$4:$C$281,'F0 - Données générales'!$K$31,'F3 - Relevé du personnel'!$B$4:$B$281,"0-3 ans")))</f>
        <v/>
      </c>
      <c r="BB136" s="760" t="s">
        <v>79</v>
      </c>
      <c r="BC136" s="761"/>
      <c r="BD136" s="13" t="s">
        <v>90</v>
      </c>
      <c r="BE136" s="758" t="s">
        <v>91</v>
      </c>
      <c r="BF136" s="759"/>
      <c r="BG136" s="45">
        <f>SUMIFS('F3 - Relevé du personnel'!$E$4:$E$281,'F3 - Relevé du personnel'!$D$4:$D$281,$BD136,'F3 - Relevé du personnel'!$C$4:$C$281,'F0 - Données générales'!$K$34)</f>
        <v>0</v>
      </c>
      <c r="BH136" s="259">
        <f>SUMIFS('F3 - Relevé du personnel'!$I$4:$I$281,'F3 - Relevé du personnel'!$D$4:$D$281,$BD136,'F3 - Relevé du personnel'!$C$4:$C$281,'F0 - Données générales'!$K$34)</f>
        <v>0</v>
      </c>
      <c r="BI136" s="259">
        <f>SUMIFS('F3 - Relevé du personnel'!$M$4:$M$281,'F3 - Relevé du personnel'!$D$4:$D$281,$BD136,'F3 - Relevé du personnel'!$C$4:$C$281,'F0 - Données générales'!$K$34)</f>
        <v>0</v>
      </c>
      <c r="BJ136" s="189">
        <f t="shared" si="87"/>
        <v>0</v>
      </c>
      <c r="BK136" s="259">
        <f>SUMIFS('F3 - Relevé du personnel'!$O$4:$O$281,'F3 - Relevé du personnel'!$D$4:$D$281,$BD136,'F3 - Relevé du personnel'!$C$4:$C$281,'F0 - Données générales'!$K$34)</f>
        <v>0</v>
      </c>
      <c r="BL136" s="259">
        <f>SUMIFS('F3 - Relevé du personnel'!$P$4:$P$281,'F3 - Relevé du personnel'!$D$4:$D$281,$BD136,'F3 - Relevé du personnel'!$C$4:$C$281,'F0 - Données générales'!$K$34)</f>
        <v>0</v>
      </c>
      <c r="BM136" s="259">
        <f>SUMIFS('F3 - Relevé du personnel'!$Q$4:$Q$281,'F3 - Relevé du personnel'!$D$4:$D$281,$BD136,'F3 - Relevé du personnel'!$C$4:$C$281,'F0 - Données générales'!$K$34)</f>
        <v>0</v>
      </c>
      <c r="BN136" s="48">
        <f t="shared" si="89"/>
        <v>0</v>
      </c>
      <c r="BO136" s="187" t="str">
        <f t="shared" si="88"/>
        <v/>
      </c>
      <c r="BP136" s="188" t="str">
        <f>IF(BG136=0,"",(SUMPRODUCT(($D$4:$D$253=BD136)*($C$4:$C$253='F0 - Données générales'!$K$34)*($E$4:$E$253)*($F$4:$F$253))+SUMPRODUCT(($D$257:$D$281=BD136)*($C$257:$C$281='F0 - Données générales'!$K$34)*($E$257:$E$281)*($F$257:$F$281)))/(SUMIFS('F3 - Relevé du personnel'!$E$4:$E$281,'F3 - Relevé du personnel'!$D$4:$D$281,$BD136,'F3 - Relevé du personnel'!$C$4:$C$281,'F0 - Données générales'!$K$34)))</f>
        <v/>
      </c>
      <c r="BS136" s="14"/>
      <c r="BT136" s="14"/>
      <c r="BU136" s="14"/>
      <c r="BV136" s="14"/>
    </row>
    <row r="137" spans="1:74" ht="15" customHeight="1" x14ac:dyDescent="0.3">
      <c r="A137" s="106">
        <v>134</v>
      </c>
      <c r="B137" s="324">
        <f>'F0 - Données générales'!$C$4</f>
        <v>7</v>
      </c>
      <c r="C137" s="106" t="s">
        <v>95</v>
      </c>
      <c r="D137" s="106"/>
      <c r="E137" s="107"/>
      <c r="F137" s="108"/>
      <c r="G137" s="109"/>
      <c r="H137" s="110">
        <f t="shared" si="90"/>
        <v>0</v>
      </c>
      <c r="I137" s="177"/>
      <c r="J137" s="118" t="str">
        <f>IF(OR(D137="",F137=""),"",(((HLOOKUP(D137,'Carrières et points'!$A$20:$AD$60,F137+2,FALSE)*'Carrières et points'!$C$7*'Carrières et points'!$C$9)+(HLOOKUP(D137,'Carrières et points'!$A$20:$AD$60,F137+2,FALSE)*'Carrières et points'!$C$13*'Carrières et points'!$C$15))*(1+'F0 - Données générales'!$I$4)+((HLOOKUP(D137,'Carrières et points'!$A$20:$AD$60,F137+2,FALSE)*'Carrières et points'!$C$7*'Carrières et points'!$C$9)+(HLOOKUP(D137,'Carrières et points'!$A$20:$AD$60,F137+2,FALSE)*'Carrières et points'!$C$13*'Carrières et points'!$C$15))/12*(1+'F0 - Données générales'!$L$13))*E137)</f>
        <v/>
      </c>
      <c r="K137" s="118" t="str">
        <f t="shared" si="91"/>
        <v/>
      </c>
      <c r="L137" s="109"/>
      <c r="M137" s="177"/>
      <c r="N137" s="118" t="str">
        <f t="shared" si="92"/>
        <v/>
      </c>
      <c r="O137" s="177"/>
      <c r="P137" s="177"/>
      <c r="Q137" s="177"/>
      <c r="R137" s="255" t="str">
        <f t="shared" si="93"/>
        <v/>
      </c>
      <c r="S137" s="120"/>
      <c r="T137" s="120"/>
      <c r="U137" s="120"/>
      <c r="V137" s="120"/>
      <c r="W137" s="120"/>
      <c r="X137" s="120"/>
      <c r="Y137" s="120"/>
      <c r="Z137" s="120"/>
      <c r="AA137" s="120"/>
      <c r="AB137" s="120"/>
      <c r="AC137" s="120"/>
      <c r="AD137" s="120"/>
      <c r="AE137" s="120"/>
      <c r="AF137" s="120"/>
      <c r="AG137" s="120"/>
      <c r="AH137" s="120"/>
      <c r="AI137" s="120"/>
      <c r="AK137" s="120"/>
      <c r="AL137" s="120"/>
      <c r="AM137" s="120"/>
      <c r="AN137" s="120"/>
      <c r="AO137" s="120"/>
      <c r="AP137" s="120"/>
      <c r="AQ137" s="120"/>
      <c r="AR137" s="120"/>
      <c r="AS137" s="120"/>
      <c r="AT137" s="120"/>
      <c r="AU137" s="120"/>
      <c r="AV137" s="120"/>
      <c r="AW137" s="120"/>
      <c r="AX137" s="120"/>
      <c r="AY137" s="120"/>
      <c r="AZ137" s="120"/>
      <c r="BB137" s="762"/>
      <c r="BC137" s="763"/>
      <c r="BD137" s="777" t="s">
        <v>166</v>
      </c>
      <c r="BE137" s="778"/>
      <c r="BF137" s="779"/>
      <c r="BG137" s="190">
        <f>SUM(BG131:BG136)</f>
        <v>0</v>
      </c>
      <c r="BH137" s="191">
        <f>SUM(BH131:BH136)</f>
        <v>0</v>
      </c>
      <c r="BI137" s="191">
        <f>SUM(BI131:BI136)</f>
        <v>0</v>
      </c>
      <c r="BJ137" s="191">
        <f t="shared" si="87"/>
        <v>0</v>
      </c>
      <c r="BK137" s="191">
        <f>SUM(BK131:BK136)</f>
        <v>0</v>
      </c>
      <c r="BL137" s="191">
        <f>SUM(BL131:BL136)</f>
        <v>0</v>
      </c>
      <c r="BM137" s="191">
        <f>SUM(BM131:BM136)</f>
        <v>0</v>
      </c>
      <c r="BN137" s="192">
        <f>BH137+BI137-SUM(BK137:BM137)</f>
        <v>0</v>
      </c>
      <c r="BO137" s="192" t="str">
        <f t="shared" si="88"/>
        <v/>
      </c>
      <c r="BP137" s="193"/>
      <c r="BS137" s="14"/>
      <c r="BT137" s="14"/>
      <c r="BU137" s="14"/>
      <c r="BV137" s="14"/>
    </row>
    <row r="138" spans="1:74" ht="15" customHeight="1" x14ac:dyDescent="0.3">
      <c r="A138" s="106">
        <v>135</v>
      </c>
      <c r="B138" s="324">
        <f>'F0 - Données générales'!$C$4</f>
        <v>7</v>
      </c>
      <c r="C138" s="106" t="s">
        <v>95</v>
      </c>
      <c r="D138" s="106"/>
      <c r="E138" s="107"/>
      <c r="F138" s="108"/>
      <c r="G138" s="109"/>
      <c r="H138" s="110">
        <f t="shared" si="90"/>
        <v>0</v>
      </c>
      <c r="I138" s="177"/>
      <c r="J138" s="118" t="str">
        <f>IF(OR(D138="",F138=""),"",(((HLOOKUP(D138,'Carrières et points'!$A$20:$AD$60,F138+2,FALSE)*'Carrières et points'!$C$7*'Carrières et points'!$C$9)+(HLOOKUP(D138,'Carrières et points'!$A$20:$AD$60,F138+2,FALSE)*'Carrières et points'!$C$13*'Carrières et points'!$C$15))*(1+'F0 - Données générales'!$I$4)+((HLOOKUP(D138,'Carrières et points'!$A$20:$AD$60,F138+2,FALSE)*'Carrières et points'!$C$7*'Carrières et points'!$C$9)+(HLOOKUP(D138,'Carrières et points'!$A$20:$AD$60,F138+2,FALSE)*'Carrières et points'!$C$13*'Carrières et points'!$C$15))/12*(1+'F0 - Données générales'!$L$13))*E138)</f>
        <v/>
      </c>
      <c r="K138" s="118" t="str">
        <f t="shared" si="91"/>
        <v/>
      </c>
      <c r="L138" s="109"/>
      <c r="M138" s="177"/>
      <c r="N138" s="118" t="str">
        <f t="shared" si="92"/>
        <v/>
      </c>
      <c r="O138" s="177"/>
      <c r="P138" s="177"/>
      <c r="Q138" s="177"/>
      <c r="R138" s="255" t="str">
        <f t="shared" si="93"/>
        <v/>
      </c>
      <c r="S138" s="120"/>
      <c r="T138" s="1" t="s">
        <v>425</v>
      </c>
      <c r="U138" s="1"/>
      <c r="V138" s="1"/>
      <c r="W138"/>
      <c r="X138"/>
      <c r="Y138"/>
      <c r="Z138"/>
      <c r="AA138"/>
      <c r="AB138"/>
      <c r="AC138"/>
      <c r="AD138"/>
      <c r="AE138"/>
      <c r="AF138"/>
      <c r="AG138"/>
      <c r="AH138"/>
      <c r="AI138"/>
      <c r="AK138" s="1" t="s">
        <v>457</v>
      </c>
      <c r="AL138" s="1"/>
      <c r="AM138" s="1"/>
      <c r="AN138"/>
      <c r="AO138"/>
      <c r="AP138"/>
      <c r="AQ138"/>
      <c r="AR138"/>
      <c r="AS138"/>
      <c r="AT138"/>
      <c r="AU138"/>
      <c r="AV138"/>
      <c r="AW138"/>
      <c r="AX138"/>
      <c r="AY138"/>
      <c r="AZ138"/>
      <c r="BB138" s="760" t="s">
        <v>79</v>
      </c>
      <c r="BC138" s="761"/>
      <c r="BD138" s="13" t="s">
        <v>92</v>
      </c>
      <c r="BE138" s="758" t="s">
        <v>93</v>
      </c>
      <c r="BF138" s="759"/>
      <c r="BG138" s="45">
        <f>SUMIFS('F3 - Relevé du personnel'!$E$4:$E$281,'F3 - Relevé du personnel'!$D$4:$D$281,$BD138,'F3 - Relevé du personnel'!$C$4:$C$281,'F0 - Données générales'!$K$34)</f>
        <v>0</v>
      </c>
      <c r="BH138" s="259">
        <f>SUMIFS('F3 - Relevé du personnel'!$I$4:$I$281,'F3 - Relevé du personnel'!$D$4:$D$281,$BD138,'F3 - Relevé du personnel'!$C$4:$C$281,'F0 - Données générales'!$K$34)</f>
        <v>0</v>
      </c>
      <c r="BI138" s="259">
        <f>SUMIFS('F3 - Relevé du personnel'!$M$4:$M$281,'F3 - Relevé du personnel'!$D$4:$D$281,$BD138,'F3 - Relevé du personnel'!$C$4:$C$281,'F0 - Données générales'!$K$34)</f>
        <v>0</v>
      </c>
      <c r="BJ138" s="189">
        <f t="shared" si="87"/>
        <v>0</v>
      </c>
      <c r="BK138" s="259">
        <f>SUMIFS('F3 - Relevé du personnel'!$O$4:$O$281,'F3 - Relevé du personnel'!$D$4:$D$281,$BD138,'F3 - Relevé du personnel'!$C$4:$C$281,'F0 - Données générales'!$K$34)</f>
        <v>0</v>
      </c>
      <c r="BL138" s="259">
        <f>SUMIFS('F3 - Relevé du personnel'!$P$4:$P$281,'F3 - Relevé du personnel'!$D$4:$D$281,$BD138,'F3 - Relevé du personnel'!$C$4:$C$281,'F0 - Données générales'!$K$34)</f>
        <v>0</v>
      </c>
      <c r="BM138" s="259">
        <f>SUMIFS('F3 - Relevé du personnel'!$Q$4:$Q$281,'F3 - Relevé du personnel'!$D$4:$D$281,$BD138,'F3 - Relevé du personnel'!$C$4:$C$281,'F0 - Données générales'!$K$34)</f>
        <v>0</v>
      </c>
      <c r="BN138" s="48">
        <f>BH138+BI138-SUM(BK138:BM138)</f>
        <v>0</v>
      </c>
      <c r="BO138" s="187" t="str">
        <f t="shared" si="88"/>
        <v/>
      </c>
      <c r="BP138" s="188" t="str">
        <f>IF(BG138=0,"",(SUMPRODUCT(($D$4:$D$253=BD138)*($C$4:$C$253='F0 - Données générales'!$K$34)*($E$4:$E$253)*($F$4:$F$253))+SUMPRODUCT(($D$257:$D$281=BD138)*($C$257:$C$281='F0 - Données générales'!$K$34)*($E$257:$E$281)*($F$257:$F$281)))/(SUMIFS('F3 - Relevé du personnel'!$E$4:$E$281,'F3 - Relevé du personnel'!$D$4:$D$281,$BD138,'F3 - Relevé du personnel'!$C$4:$C$281,'F0 - Données générales'!$K$34)))</f>
        <v/>
      </c>
      <c r="BS138" s="14"/>
      <c r="BT138" s="14"/>
      <c r="BU138" s="132"/>
      <c r="BV138" s="14"/>
    </row>
    <row r="139" spans="1:74" ht="38.25" customHeight="1" x14ac:dyDescent="0.3">
      <c r="A139" s="106">
        <v>136</v>
      </c>
      <c r="B139" s="324">
        <f>'F0 - Données générales'!$C$4</f>
        <v>7</v>
      </c>
      <c r="C139" s="106" t="s">
        <v>95</v>
      </c>
      <c r="D139" s="106"/>
      <c r="E139" s="107"/>
      <c r="F139" s="108"/>
      <c r="G139" s="109"/>
      <c r="H139" s="110">
        <f t="shared" si="90"/>
        <v>0</v>
      </c>
      <c r="I139" s="177"/>
      <c r="J139" s="118" t="str">
        <f>IF(OR(D139="",F139=""),"",(((HLOOKUP(D139,'Carrières et points'!$A$20:$AD$60,F139+2,FALSE)*'Carrières et points'!$C$7*'Carrières et points'!$C$9)+(HLOOKUP(D139,'Carrières et points'!$A$20:$AD$60,F139+2,FALSE)*'Carrières et points'!$C$13*'Carrières et points'!$C$15))*(1+'F0 - Données générales'!$I$4)+((HLOOKUP(D139,'Carrières et points'!$A$20:$AD$60,F139+2,FALSE)*'Carrières et points'!$C$7*'Carrières et points'!$C$9)+(HLOOKUP(D139,'Carrières et points'!$A$20:$AD$60,F139+2,FALSE)*'Carrières et points'!$C$13*'Carrières et points'!$C$15))/12*(1+'F0 - Données générales'!$L$13))*E139)</f>
        <v/>
      </c>
      <c r="K139" s="118" t="str">
        <f t="shared" si="91"/>
        <v/>
      </c>
      <c r="L139" s="109"/>
      <c r="M139" s="177"/>
      <c r="N139" s="118" t="str">
        <f t="shared" si="92"/>
        <v/>
      </c>
      <c r="O139" s="177"/>
      <c r="P139" s="177"/>
      <c r="Q139" s="177"/>
      <c r="R139" s="255" t="str">
        <f t="shared" si="93"/>
        <v/>
      </c>
      <c r="S139" s="120"/>
      <c r="T139" s="747" t="s">
        <v>58</v>
      </c>
      <c r="U139" s="747"/>
      <c r="V139" s="747" t="s">
        <v>55</v>
      </c>
      <c r="W139" s="747"/>
      <c r="X139" s="747"/>
      <c r="Y139" s="298" t="s">
        <v>403</v>
      </c>
      <c r="Z139" s="298" t="s">
        <v>404</v>
      </c>
      <c r="AA139" s="298" t="s">
        <v>299</v>
      </c>
      <c r="AB139" s="298" t="s">
        <v>304</v>
      </c>
      <c r="AC139" s="298" t="s">
        <v>733</v>
      </c>
      <c r="AD139" s="298" t="s">
        <v>284</v>
      </c>
      <c r="AE139" s="298" t="s">
        <v>323</v>
      </c>
      <c r="AF139" s="298" t="s">
        <v>60</v>
      </c>
      <c r="AG139" s="298" t="s">
        <v>734</v>
      </c>
      <c r="AH139" s="298" t="s">
        <v>735</v>
      </c>
      <c r="AI139" s="298" t="s">
        <v>313</v>
      </c>
      <c r="AK139" s="747" t="s">
        <v>58</v>
      </c>
      <c r="AL139" s="747"/>
      <c r="AM139" s="747" t="s">
        <v>55</v>
      </c>
      <c r="AN139" s="747"/>
      <c r="AO139" s="747"/>
      <c r="AP139" s="298" t="s">
        <v>403</v>
      </c>
      <c r="AQ139" s="298" t="s">
        <v>404</v>
      </c>
      <c r="AR139" s="298" t="s">
        <v>299</v>
      </c>
      <c r="AS139" s="298" t="s">
        <v>304</v>
      </c>
      <c r="AT139" s="298" t="s">
        <v>733</v>
      </c>
      <c r="AU139" s="298" t="s">
        <v>284</v>
      </c>
      <c r="AV139" s="298" t="s">
        <v>323</v>
      </c>
      <c r="AW139" s="298" t="s">
        <v>60</v>
      </c>
      <c r="AX139" s="298" t="s">
        <v>734</v>
      </c>
      <c r="AY139" s="298" t="s">
        <v>735</v>
      </c>
      <c r="AZ139" s="298" t="s">
        <v>313</v>
      </c>
      <c r="BB139" s="762"/>
      <c r="BC139" s="763"/>
      <c r="BD139" s="777" t="s">
        <v>167</v>
      </c>
      <c r="BE139" s="778"/>
      <c r="BF139" s="779"/>
      <c r="BG139" s="190">
        <f>SUM(BG138:BG138)</f>
        <v>0</v>
      </c>
      <c r="BH139" s="191">
        <f>SUM(BH138:BH138)</f>
        <v>0</v>
      </c>
      <c r="BI139" s="191">
        <f>SUM(BI138:BI138)</f>
        <v>0</v>
      </c>
      <c r="BJ139" s="191">
        <f t="shared" si="87"/>
        <v>0</v>
      </c>
      <c r="BK139" s="191">
        <f>SUM(BK138:BK138)</f>
        <v>0</v>
      </c>
      <c r="BL139" s="191">
        <f>SUM(BL138:BL138)</f>
        <v>0</v>
      </c>
      <c r="BM139" s="191">
        <f>SUM(BM138:BM138)</f>
        <v>0</v>
      </c>
      <c r="BN139" s="192">
        <f>BH139+BI139-SUM(BK139:BM139)</f>
        <v>0</v>
      </c>
      <c r="BO139" s="192" t="str">
        <f t="shared" si="88"/>
        <v/>
      </c>
      <c r="BP139" s="193"/>
      <c r="BS139" s="132"/>
      <c r="BT139" s="132"/>
      <c r="BU139" s="14"/>
      <c r="BV139" s="14"/>
    </row>
    <row r="140" spans="1:74" ht="15" customHeight="1" x14ac:dyDescent="0.3">
      <c r="A140" s="106">
        <v>137</v>
      </c>
      <c r="B140" s="324">
        <f>'F0 - Données générales'!$C$4</f>
        <v>7</v>
      </c>
      <c r="C140" s="106" t="s">
        <v>95</v>
      </c>
      <c r="D140" s="106"/>
      <c r="E140" s="107"/>
      <c r="F140" s="108"/>
      <c r="G140" s="109"/>
      <c r="H140" s="110">
        <f t="shared" si="90"/>
        <v>0</v>
      </c>
      <c r="I140" s="177"/>
      <c r="J140" s="118" t="str">
        <f>IF(OR(D140="",F140=""),"",(((HLOOKUP(D140,'Carrières et points'!$A$20:$AD$60,F140+2,FALSE)*'Carrières et points'!$C$7*'Carrières et points'!$C$9)+(HLOOKUP(D140,'Carrières et points'!$A$20:$AD$60,F140+2,FALSE)*'Carrières et points'!$C$13*'Carrières et points'!$C$15))*(1+'F0 - Données générales'!$I$4)+((HLOOKUP(D140,'Carrières et points'!$A$20:$AD$60,F140+2,FALSE)*'Carrières et points'!$C$7*'Carrières et points'!$C$9)+(HLOOKUP(D140,'Carrières et points'!$A$20:$AD$60,F140+2,FALSE)*'Carrières et points'!$C$13*'Carrières et points'!$C$15))/12*(1+'F0 - Données générales'!$L$13))*E140)</f>
        <v/>
      </c>
      <c r="K140" s="118" t="str">
        <f t="shared" si="91"/>
        <v/>
      </c>
      <c r="L140" s="109"/>
      <c r="M140" s="177"/>
      <c r="N140" s="118" t="str">
        <f t="shared" si="92"/>
        <v/>
      </c>
      <c r="O140" s="177"/>
      <c r="P140" s="177"/>
      <c r="Q140" s="177"/>
      <c r="R140" s="255" t="str">
        <f t="shared" si="93"/>
        <v/>
      </c>
      <c r="S140" s="120"/>
      <c r="T140" s="742" t="s">
        <v>61</v>
      </c>
      <c r="U140" s="742"/>
      <c r="V140" s="26" t="s">
        <v>62</v>
      </c>
      <c r="W140" s="748" t="s">
        <v>63</v>
      </c>
      <c r="X140" s="748"/>
      <c r="Y140" s="181">
        <f>SUMIFS('F3 - Relevé du personnel'!$E$4:$E$281,'F3 - Relevé du personnel'!$D$4:$D$281,$V140,'F3 - Relevé du personnel'!$C$4:$C$281,'F0 - Données générales'!$K$31,'F3 - Relevé du personnel'!$B$4:$B$281,"9.1")</f>
        <v>0</v>
      </c>
      <c r="Z140" s="181">
        <f>SUMIFS('F3 - Relevé du personnel'!$H$4:$H$281,'F3 - Relevé du personnel'!$D$4:$D$281,$V140,'F3 - Relevé du personnel'!$C$4:$C$281,'F0 - Données générales'!$K$31,'F3 - Relevé du personnel'!$B$4:$B$281,"9.1")</f>
        <v>0</v>
      </c>
      <c r="AA140" s="256">
        <f>SUMIFS('F3 - Relevé du personnel'!$I$4:$I$281,'F3 - Relevé du personnel'!$D$4:$D$281,$V140,'F3 - Relevé du personnel'!$C$4:$C$281,'F0 - Données générales'!$K$31,'F3 - Relevé du personnel'!$B$4:$B$281,"9.1")</f>
        <v>0</v>
      </c>
      <c r="AB140" s="256">
        <f>SUMIFS('F3 - Relevé du personnel'!$M$4:$M$281,'F3 - Relevé du personnel'!$D$4:$D$281,$V140,'F3 - Relevé du personnel'!$C$4:$C$281,'F0 - Données générales'!$K$31,'F3 - Relevé du personnel'!$B$4:$B$281,"9.1")</f>
        <v>0</v>
      </c>
      <c r="AC140" s="196">
        <f t="shared" ref="AC140:AC169" si="96">(AA140+AB140)</f>
        <v>0</v>
      </c>
      <c r="AD140" s="256">
        <f>SUMIFS('F3 - Relevé du personnel'!$O$4:$O$281,'F3 - Relevé du personnel'!$D$4:$D$281,$V140,'F3 - Relevé du personnel'!$C$4:$C$281,'F0 - Données générales'!$K$31,'F3 - Relevé du personnel'!$B$4:$B$281,"9.1")</f>
        <v>0</v>
      </c>
      <c r="AE140" s="256">
        <f>SUMIFS('F3 - Relevé du personnel'!$P$4:$P$281,'F3 - Relevé du personnel'!$D$4:$D$281,$V140,'F3 - Relevé du personnel'!$C$4:$C$281,'F0 - Données générales'!$K$31,'F3 - Relevé du personnel'!$B$4:$B$281,"9.1")</f>
        <v>0</v>
      </c>
      <c r="AF140" s="256">
        <f>SUMIFS('F3 - Relevé du personnel'!$Q$4:$Q$281,'F3 - Relevé du personnel'!$D$4:$D$281,$V140,'F3 - Relevé du personnel'!$C$4:$C$281,'F0 - Données générales'!$K$31,'F3 - Relevé du personnel'!$B$4:$B$281,"9.1")</f>
        <v>0</v>
      </c>
      <c r="AG140" s="182">
        <f t="shared" ref="AG140:AG169" si="97">AA140+AB140-SUM(AD140:AF140)</f>
        <v>0</v>
      </c>
      <c r="AH140" s="197" t="str">
        <f>IF(Y140=0,"",(AG140)/Y140)</f>
        <v/>
      </c>
      <c r="AI140" s="198" t="str">
        <f>IF(Y140=0,"",(SUMPRODUCT(($D$4:$D$253=V140)*($C$4:$C$253='F0 - Données générales'!$K$31)*($E$4:$E$253)*($F$4:$F$253)*($B$4:$B$253="9.1"))+SUMPRODUCT(($D$257:$D$281=V140)*($C$257:$C$281='F0 - Données générales'!$K$31)*($B$257:$B$281="9.1")*($E$257:$E$281)*($F$257:$F$281)))/(SUMIFS('F3 - Relevé du personnel'!$E$4:$E$281,'F3 - Relevé du personnel'!$D$4:$D$281,$V140,'F3 - Relevé du personnel'!$C$4:$C$281,'F0 - Données générales'!$K$31,'F3 - Relevé du personnel'!$B$4:$B$281,"9.1")))</f>
        <v/>
      </c>
      <c r="AK140" s="742" t="s">
        <v>61</v>
      </c>
      <c r="AL140" s="742"/>
      <c r="AM140" s="26" t="s">
        <v>62</v>
      </c>
      <c r="AN140" s="748" t="s">
        <v>63</v>
      </c>
      <c r="AO140" s="748"/>
      <c r="AP140" s="181">
        <f>SUMIFS('F3 - Relevé du personnel'!$E$4:$E$281,'F3 - Relevé du personnel'!$D$4:$D$281,$AM140,'F3 - Relevé du personnel'!$C$4:$C$281,'F0 - Données générales'!$K$31,'F3 - Relevé du personnel'!$B$4:$B$281,"Petit groupe")</f>
        <v>0</v>
      </c>
      <c r="AQ140" s="181">
        <f>SUMIFS('F3 - Relevé du personnel'!$H$4:$H$281,'F3 - Relevé du personnel'!$D$4:$D$281,$AM140,'F3 - Relevé du personnel'!$C$4:$C$281,'F0 - Données générales'!$K$31,'F3 - Relevé du personnel'!$B$4:$B$281,"Petit groupe")</f>
        <v>0</v>
      </c>
      <c r="AR140" s="256">
        <f>SUMIFS('F3 - Relevé du personnel'!$I$4:$I$281,'F3 - Relevé du personnel'!$D$4:$D$281,$AM140,'F3 - Relevé du personnel'!$C$4:$C$281,'F0 - Données générales'!$K$31,'F3 - Relevé du personnel'!$B$4:$B$281,"Petit groupe")</f>
        <v>0</v>
      </c>
      <c r="AS140" s="256">
        <f>SUMIFS('F3 - Relevé du personnel'!$M$4:$M$281,'F3 - Relevé du personnel'!$D$4:$D$281,$AM140,'F3 - Relevé du personnel'!$C$4:$C$281,'F0 - Données générales'!$K$31,'F3 - Relevé du personnel'!$B$4:$B$281,"Petit groupe")</f>
        <v>0</v>
      </c>
      <c r="AT140" s="196">
        <f t="shared" ref="AT140:AT169" si="98">(AR140+AS140)</f>
        <v>0</v>
      </c>
      <c r="AU140" s="256">
        <f>SUMIFS('F3 - Relevé du personnel'!$O$4:$O$281,'F3 - Relevé du personnel'!$D$4:$D$281,$AM140,'F3 - Relevé du personnel'!$C$4:$C$281,'F0 - Données générales'!$K$31,'F3 - Relevé du personnel'!$B$4:$B$281,"Petit groupe")</f>
        <v>0</v>
      </c>
      <c r="AV140" s="256">
        <f>SUMIFS('F3 - Relevé du personnel'!$P$4:$P$281,'F3 - Relevé du personnel'!$D$4:$D$281,$AM140,'F3 - Relevé du personnel'!$C$4:$C$281,'F0 - Données générales'!$K$31,'F3 - Relevé du personnel'!$B$4:$B$281,"Petit groupe")</f>
        <v>0</v>
      </c>
      <c r="AW140" s="256">
        <f>SUMIFS('F3 - Relevé du personnel'!$Q$4:$Q$281,'F3 - Relevé du personnel'!$D$4:$D$281,$AM140,'F3 - Relevé du personnel'!$C$4:$C$281,'F0 - Données générales'!$K$31,'F3 - Relevé du personnel'!$B$4:$B$281,"Petit groupe")</f>
        <v>0</v>
      </c>
      <c r="AX140" s="182">
        <f>AR140+AS140-SUM(AU140:AW140)</f>
        <v>0</v>
      </c>
      <c r="AY140" s="197" t="str">
        <f>IF(AP140=0,"",(AX140)/AP140)</f>
        <v/>
      </c>
      <c r="AZ140" s="198" t="str">
        <f>IF(AP140=0,"",(SUMPRODUCT(($D$4:$D$253=AM140)*($C$4:$C$253='F0 - Données générales'!$K$31)*($E$4:$E$253)*($F$4:$F$253)*($B$4:$B$253="0-3 ans"))+SUMPRODUCT(($D$257:$D$281=AM140)*($C$257:$C$281='F0 - Données générales'!$K$31)*($B$257:$B$281="0-3 ans")*($E$257:$E$281)*($F$257:$F$281)))/(SUMIFS('F3 - Relevé du personnel'!$E$4:$E$281,'F3 - Relevé du personnel'!$D$4:$D$281,$AM140,'F3 - Relevé du personnel'!$C$4:$C$281,'F0 - Données générales'!$K$31,'F3 - Relevé du personnel'!$B$4:$B$281,"0-3 ans")))</f>
        <v/>
      </c>
      <c r="BB140" s="760" t="s">
        <v>79</v>
      </c>
      <c r="BC140" s="761"/>
      <c r="BD140" s="13" t="s">
        <v>96</v>
      </c>
      <c r="BE140" s="758"/>
      <c r="BF140" s="759"/>
      <c r="BG140" s="45">
        <f>SUMIFS('F3 - Relevé du personnel'!$E$4:$E$281,'F3 - Relevé du personnel'!$D$4:$D$281,$BD140,'F3 - Relevé du personnel'!$C$4:$C$281,'F0 - Données générales'!$K$34)</f>
        <v>0</v>
      </c>
      <c r="BH140" s="259">
        <f>SUMIFS('F3 - Relevé du personnel'!$I$4:$I$281,'F3 - Relevé du personnel'!$D$4:$D$281,$BD140,'F3 - Relevé du personnel'!$C$4:$C$281,'F0 - Données générales'!$K$34)</f>
        <v>0</v>
      </c>
      <c r="BI140" s="259">
        <f>SUMIFS('F3 - Relevé du personnel'!$M$4:$M$281,'F3 - Relevé du personnel'!$D$4:$D$281,$BD140,'F3 - Relevé du personnel'!$C$4:$C$281,'F0 - Données générales'!$K$34)</f>
        <v>0</v>
      </c>
      <c r="BJ140" s="189">
        <f t="shared" si="87"/>
        <v>0</v>
      </c>
      <c r="BK140" s="259">
        <f>SUMIFS('F3 - Relevé du personnel'!$O$4:$O$281,'F3 - Relevé du personnel'!$D$4:$D$281,$BD140,'F3 - Relevé du personnel'!$C$4:$C$281,'F0 - Données générales'!$K$34)</f>
        <v>0</v>
      </c>
      <c r="BL140" s="259">
        <f>SUMIFS('F3 - Relevé du personnel'!$P$4:$P$281,'F3 - Relevé du personnel'!$D$4:$D$281,$BD140,'F3 - Relevé du personnel'!$C$4:$C$281,'F0 - Données générales'!$K$34)</f>
        <v>0</v>
      </c>
      <c r="BM140" s="259">
        <f>SUMIFS('F3 - Relevé du personnel'!$Q$4:$Q$281,'F3 - Relevé du personnel'!$D$4:$D$281,$BD140,'F3 - Relevé du personnel'!$C$4:$C$281,'F0 - Données générales'!$K$34)</f>
        <v>0</v>
      </c>
      <c r="BN140" s="48">
        <f t="shared" ref="BN140:BN149" si="99">BH140+BI140-SUM(BK140:BM140)</f>
        <v>0</v>
      </c>
      <c r="BO140" s="187" t="str">
        <f t="shared" si="88"/>
        <v/>
      </c>
      <c r="BP140" s="188" t="str">
        <f>IF(BG140=0,"",(SUMPRODUCT(($D$4:$D$253=BD140)*($C$4:$C$253='F0 - Données générales'!$K$34)*($E$4:$E$253)*($F$4:$F$253))+SUMPRODUCT(($D$257:$D$281=BD140)*($C$257:$C$281='F0 - Données générales'!$K$34)*($E$257:$E$281)*($F$257:$F$281)))/(SUMIFS('F3 - Relevé du personnel'!$E$4:$E$281,'F3 - Relevé du personnel'!$D$4:$D$281,$BD140,'F3 - Relevé du personnel'!$C$4:$C$281,'F0 - Données générales'!$K$34)))</f>
        <v/>
      </c>
      <c r="BS140" s="14"/>
      <c r="BT140" s="14"/>
      <c r="BU140" s="132"/>
      <c r="BV140" s="14"/>
    </row>
    <row r="141" spans="1:74" ht="15" customHeight="1" x14ac:dyDescent="0.3">
      <c r="A141" s="106">
        <v>138</v>
      </c>
      <c r="B141" s="324">
        <f>'F0 - Données générales'!$C$4</f>
        <v>7</v>
      </c>
      <c r="C141" s="106" t="s">
        <v>95</v>
      </c>
      <c r="D141" s="106"/>
      <c r="E141" s="107"/>
      <c r="F141" s="108"/>
      <c r="G141" s="109"/>
      <c r="H141" s="110">
        <f t="shared" si="90"/>
        <v>0</v>
      </c>
      <c r="I141" s="177"/>
      <c r="J141" s="118" t="str">
        <f>IF(OR(D141="",F141=""),"",(((HLOOKUP(D141,'Carrières et points'!$A$20:$AD$60,F141+2,FALSE)*'Carrières et points'!$C$7*'Carrières et points'!$C$9)+(HLOOKUP(D141,'Carrières et points'!$A$20:$AD$60,F141+2,FALSE)*'Carrières et points'!$C$13*'Carrières et points'!$C$15))*(1+'F0 - Données générales'!$I$4)+((HLOOKUP(D141,'Carrières et points'!$A$20:$AD$60,F141+2,FALSE)*'Carrières et points'!$C$7*'Carrières et points'!$C$9)+(HLOOKUP(D141,'Carrières et points'!$A$20:$AD$60,F141+2,FALSE)*'Carrières et points'!$C$13*'Carrières et points'!$C$15))/12*(1+'F0 - Données générales'!$L$13))*E141)</f>
        <v/>
      </c>
      <c r="K141" s="118" t="str">
        <f t="shared" si="91"/>
        <v/>
      </c>
      <c r="L141" s="109"/>
      <c r="M141" s="177"/>
      <c r="N141" s="118" t="str">
        <f t="shared" si="92"/>
        <v/>
      </c>
      <c r="O141" s="177"/>
      <c r="P141" s="177"/>
      <c r="Q141" s="177"/>
      <c r="R141" s="255" t="str">
        <f t="shared" si="93"/>
        <v/>
      </c>
      <c r="S141" s="120"/>
      <c r="T141" s="742" t="s">
        <v>65</v>
      </c>
      <c r="U141" s="742"/>
      <c r="V141" s="26" t="s">
        <v>66</v>
      </c>
      <c r="W141" s="741" t="s">
        <v>67</v>
      </c>
      <c r="X141" s="741"/>
      <c r="Y141" s="181">
        <f>SUMIFS('F3 - Relevé du personnel'!$E$4:$E$281,'F3 - Relevé du personnel'!$D$4:$D$281,$V141,'F3 - Relevé du personnel'!$C$4:$C$281,'F0 - Données générales'!$K$31,'F3 - Relevé du personnel'!$B$4:$B$281,"9.1")</f>
        <v>0</v>
      </c>
      <c r="Z141" s="181">
        <f>SUMIFS('F3 - Relevé du personnel'!$H$4:$H$281,'F3 - Relevé du personnel'!$D$4:$D$281,$V141,'F3 - Relevé du personnel'!$C$4:$C$281,'F0 - Données générales'!$K$31,'F3 - Relevé du personnel'!$B$4:$B$281,"9.1")</f>
        <v>0</v>
      </c>
      <c r="AA141" s="256">
        <f>SUMIFS('F3 - Relevé du personnel'!$I$4:$I$281,'F3 - Relevé du personnel'!$D$4:$D$281,$V141,'F3 - Relevé du personnel'!$C$4:$C$281,'F0 - Données générales'!$K$31,'F3 - Relevé du personnel'!$B$4:$B$281,"9.1")</f>
        <v>0</v>
      </c>
      <c r="AB141" s="256">
        <f>SUMIFS('F3 - Relevé du personnel'!$M$4:$M$281,'F3 - Relevé du personnel'!$D$4:$D$281,$V141,'F3 - Relevé du personnel'!$C$4:$C$281,'F0 - Données générales'!$K$31,'F3 - Relevé du personnel'!$B$4:$B$281,"9.1")</f>
        <v>0</v>
      </c>
      <c r="AC141" s="196">
        <f t="shared" si="96"/>
        <v>0</v>
      </c>
      <c r="AD141" s="256">
        <f>SUMIFS('F3 - Relevé du personnel'!$O$4:$O$281,'F3 - Relevé du personnel'!$D$4:$D$281,$V141,'F3 - Relevé du personnel'!$C$4:$C$281,'F0 - Données générales'!$K$31,'F3 - Relevé du personnel'!$B$4:$B$281,"9.1")</f>
        <v>0</v>
      </c>
      <c r="AE141" s="256">
        <f>SUMIFS('F3 - Relevé du personnel'!$P$4:$P$281,'F3 - Relevé du personnel'!$D$4:$D$281,$V141,'F3 - Relevé du personnel'!$C$4:$C$281,'F0 - Données générales'!$K$31,'F3 - Relevé du personnel'!$B$4:$B$281,"9.1")</f>
        <v>0</v>
      </c>
      <c r="AF141" s="256">
        <f>SUMIFS('F3 - Relevé du personnel'!$Q$4:$Q$281,'F3 - Relevé du personnel'!$D$4:$D$281,$V141,'F3 - Relevé du personnel'!$C$4:$C$281,'F0 - Données générales'!$K$31,'F3 - Relevé du personnel'!$B$4:$B$281,"9.1")</f>
        <v>0</v>
      </c>
      <c r="AG141" s="182">
        <f t="shared" si="97"/>
        <v>0</v>
      </c>
      <c r="AH141" s="197" t="str">
        <f t="shared" ref="AH141:AH156" si="100">IF(Y141=0,"",(AG141)/Y141)</f>
        <v/>
      </c>
      <c r="AI141" s="198" t="str">
        <f>IF(Y141=0,"",(SUMPRODUCT(($D$4:$D$253=V141)*($C$4:$C$253='F0 - Données générales'!$K$31)*($E$4:$E$253)*($F$4:$F$253)*($B$4:$B$253="9.1"))+SUMPRODUCT(($D$257:$D$281=V141)*($C$257:$C$281='F0 - Données générales'!$K$31)*($B$257:$B$281="9.1")*($E$257:$E$281)*($F$257:$F$281)))/(SUMIFS('F3 - Relevé du personnel'!$E$4:$E$281,'F3 - Relevé du personnel'!$D$4:$D$281,$V141,'F3 - Relevé du personnel'!$C$4:$C$281,'F0 - Données générales'!$K$31,'F3 - Relevé du personnel'!$B$4:$B$281,"9.1")))</f>
        <v/>
      </c>
      <c r="AK141" s="742" t="s">
        <v>65</v>
      </c>
      <c r="AL141" s="742"/>
      <c r="AM141" s="26" t="s">
        <v>66</v>
      </c>
      <c r="AN141" s="741" t="s">
        <v>67</v>
      </c>
      <c r="AO141" s="741"/>
      <c r="AP141" s="181">
        <f>SUMIFS('F3 - Relevé du personnel'!$E$4:$E$281,'F3 - Relevé du personnel'!$D$4:$D$281,$AM141,'F3 - Relevé du personnel'!$C$4:$C$281,'F0 - Données générales'!$K$31,'F3 - Relevé du personnel'!$B$4:$B$281,"Petit groupe")</f>
        <v>0</v>
      </c>
      <c r="AQ141" s="181">
        <f>SUMIFS('F3 - Relevé du personnel'!$H$4:$H$281,'F3 - Relevé du personnel'!$D$4:$D$281,$AM141,'F3 - Relevé du personnel'!$C$4:$C$281,'F0 - Données générales'!$K$31,'F3 - Relevé du personnel'!$B$4:$B$281,"Petit groupe")</f>
        <v>0</v>
      </c>
      <c r="AR141" s="256">
        <f>SUMIFS('F3 - Relevé du personnel'!$I$4:$I$281,'F3 - Relevé du personnel'!$D$4:$D$281,$AM141,'F3 - Relevé du personnel'!$C$4:$C$281,'F0 - Données générales'!$K$31,'F3 - Relevé du personnel'!$B$4:$B$281,"Petit groupe")</f>
        <v>0</v>
      </c>
      <c r="AS141" s="256">
        <f>SUMIFS('F3 - Relevé du personnel'!$M$4:$M$281,'F3 - Relevé du personnel'!$D$4:$D$281,$AM141,'F3 - Relevé du personnel'!$C$4:$C$281,'F0 - Données générales'!$K$31,'F3 - Relevé du personnel'!$B$4:$B$281,"Petit groupe")</f>
        <v>0</v>
      </c>
      <c r="AT141" s="196">
        <f t="shared" si="98"/>
        <v>0</v>
      </c>
      <c r="AU141" s="256">
        <f>SUMIFS('F3 - Relevé du personnel'!$O$4:$O$281,'F3 - Relevé du personnel'!$D$4:$D$281,$AM141,'F3 - Relevé du personnel'!$C$4:$C$281,'F0 - Données générales'!$K$31,'F3 - Relevé du personnel'!$B$4:$B$281,"Petit groupe")</f>
        <v>0</v>
      </c>
      <c r="AV141" s="256">
        <f>SUMIFS('F3 - Relevé du personnel'!$P$4:$P$281,'F3 - Relevé du personnel'!$D$4:$D$281,$AM141,'F3 - Relevé du personnel'!$C$4:$C$281,'F0 - Données générales'!$K$31,'F3 - Relevé du personnel'!$B$4:$B$281,"Petit groupe")</f>
        <v>0</v>
      </c>
      <c r="AW141" s="256">
        <f>SUMIFS('F3 - Relevé du personnel'!$Q$4:$Q$281,'F3 - Relevé du personnel'!$D$4:$D$281,$AM141,'F3 - Relevé du personnel'!$C$4:$C$281,'F0 - Données générales'!$K$31,'F3 - Relevé du personnel'!$B$4:$B$281,"Petit groupe")</f>
        <v>0</v>
      </c>
      <c r="AX141" s="182">
        <f t="shared" ref="AX141:AX148" si="101">AR141+AS141-SUM(AU141:AW141)</f>
        <v>0</v>
      </c>
      <c r="AY141" s="197" t="str">
        <f t="shared" ref="AY141:AY154" si="102">IF(AP141=0,"",(AX141)/AP141)</f>
        <v/>
      </c>
      <c r="AZ141" s="198" t="str">
        <f>IF(AP141=0,"",(SUMPRODUCT(($D$4:$D$253=AM141)*($C$4:$C$253='F0 - Données générales'!$K$31)*($E$4:$E$253)*($F$4:$F$253)*($B$4:$B$253="0-3 ans"))+SUMPRODUCT(($D$257:$D$281=AM141)*($C$257:$C$281='F0 - Données générales'!$K$31)*($B$257:$B$281="0-3 ans")*($E$257:$E$281)*($F$257:$F$281)))/(SUMIFS('F3 - Relevé du personnel'!$E$4:$E$281,'F3 - Relevé du personnel'!$D$4:$D$281,$AM141,'F3 - Relevé du personnel'!$C$4:$C$281,'F0 - Données générales'!$K$31,'F3 - Relevé du personnel'!$B$4:$B$281,"0-3 ans")))</f>
        <v/>
      </c>
      <c r="BB141" s="760" t="s">
        <v>79</v>
      </c>
      <c r="BC141" s="761"/>
      <c r="BD141" s="13" t="s">
        <v>277</v>
      </c>
      <c r="BE141" s="758"/>
      <c r="BF141" s="759"/>
      <c r="BG141" s="45">
        <f>SUMIFS('F3 - Relevé du personnel'!$E$4:$E$281,'F3 - Relevé du personnel'!$D$4:$D$281,$BD141,'F3 - Relevé du personnel'!$C$4:$C$281,'F0 - Données générales'!$K$34)</f>
        <v>0</v>
      </c>
      <c r="BH141" s="259">
        <f>SUMIFS('F3 - Relevé du personnel'!$I$4:$I$281,'F3 - Relevé du personnel'!$D$4:$D$281,$BD141,'F3 - Relevé du personnel'!$C$4:$C$281,'F0 - Données générales'!$K$34)</f>
        <v>0</v>
      </c>
      <c r="BI141" s="259">
        <f>SUMIFS('F3 - Relevé du personnel'!$M$4:$M$281,'F3 - Relevé du personnel'!$D$4:$D$281,$BD141,'F3 - Relevé du personnel'!$C$4:$C$281,'F0 - Données générales'!$K$34)</f>
        <v>0</v>
      </c>
      <c r="BJ141" s="189">
        <f t="shared" si="87"/>
        <v>0</v>
      </c>
      <c r="BK141" s="259">
        <f>SUMIFS('F3 - Relevé du personnel'!$O$4:$O$281,'F3 - Relevé du personnel'!$D$4:$D$281,$BD141,'F3 - Relevé du personnel'!$C$4:$C$281,'F0 - Données générales'!$K$34)</f>
        <v>0</v>
      </c>
      <c r="BL141" s="259">
        <f>SUMIFS('F3 - Relevé du personnel'!$P$4:$P$281,'F3 - Relevé du personnel'!$D$4:$D$281,$BD141,'F3 - Relevé du personnel'!$C$4:$C$281,'F0 - Données générales'!$K$34)</f>
        <v>0</v>
      </c>
      <c r="BM141" s="259">
        <f>SUMIFS('F3 - Relevé du personnel'!$Q$4:$Q$281,'F3 - Relevé du personnel'!$D$4:$D$281,$BD141,'F3 - Relevé du personnel'!$C$4:$C$281,'F0 - Données générales'!$K$34)</f>
        <v>0</v>
      </c>
      <c r="BN141" s="48">
        <f t="shared" si="99"/>
        <v>0</v>
      </c>
      <c r="BO141" s="187" t="str">
        <f t="shared" si="88"/>
        <v/>
      </c>
      <c r="BP141" s="188" t="str">
        <f>IF(BG141=0,"",(SUMPRODUCT(($D$4:$D$253=BD141)*($C$4:$C$253='F0 - Données générales'!$K$34)*($E$4:$E$253)*($F$4:$F$253))+SUMPRODUCT(($D$257:$D$281=BD141)*($C$257:$C$281='F0 - Données générales'!$K$34)*($E$257:$E$281)*($F$257:$F$281)))/(SUMIFS('F3 - Relevé du personnel'!$E$4:$E$281,'F3 - Relevé du personnel'!$D$4:$D$281,$BD141,'F3 - Relevé du personnel'!$C$4:$C$281,'F0 - Données générales'!$K$34)))</f>
        <v/>
      </c>
      <c r="BS141" s="132"/>
      <c r="BT141" s="132"/>
      <c r="BU141" s="14"/>
      <c r="BV141" s="14"/>
    </row>
    <row r="142" spans="1:74" ht="15" customHeight="1" x14ac:dyDescent="0.3">
      <c r="A142" s="106">
        <v>139</v>
      </c>
      <c r="B142" s="324">
        <f>'F0 - Données générales'!$C$4</f>
        <v>7</v>
      </c>
      <c r="C142" s="106" t="s">
        <v>95</v>
      </c>
      <c r="D142" s="106"/>
      <c r="E142" s="107"/>
      <c r="F142" s="108"/>
      <c r="G142" s="109"/>
      <c r="H142" s="110">
        <f t="shared" si="90"/>
        <v>0</v>
      </c>
      <c r="I142" s="177"/>
      <c r="J142" s="118" t="str">
        <f>IF(OR(D142="",F142=""),"",(((HLOOKUP(D142,'Carrières et points'!$A$20:$AD$60,F142+2,FALSE)*'Carrières et points'!$C$7*'Carrières et points'!$C$9)+(HLOOKUP(D142,'Carrières et points'!$A$20:$AD$60,F142+2,FALSE)*'Carrières et points'!$C$13*'Carrières et points'!$C$15))*(1+'F0 - Données générales'!$I$4)+((HLOOKUP(D142,'Carrières et points'!$A$20:$AD$60,F142+2,FALSE)*'Carrières et points'!$C$7*'Carrières et points'!$C$9)+(HLOOKUP(D142,'Carrières et points'!$A$20:$AD$60,F142+2,FALSE)*'Carrières et points'!$C$13*'Carrières et points'!$C$15))/12*(1+'F0 - Données générales'!$L$13))*E142)</f>
        <v/>
      </c>
      <c r="K142" s="118" t="str">
        <f t="shared" si="91"/>
        <v/>
      </c>
      <c r="L142" s="109"/>
      <c r="M142" s="177"/>
      <c r="N142" s="118" t="str">
        <f t="shared" si="92"/>
        <v/>
      </c>
      <c r="O142" s="177"/>
      <c r="P142" s="177"/>
      <c r="Q142" s="177"/>
      <c r="R142" s="255" t="str">
        <f t="shared" si="93"/>
        <v/>
      </c>
      <c r="S142" s="120"/>
      <c r="T142" s="742" t="s">
        <v>61</v>
      </c>
      <c r="U142" s="742"/>
      <c r="V142" s="26" t="s">
        <v>68</v>
      </c>
      <c r="W142" s="741" t="s">
        <v>69</v>
      </c>
      <c r="X142" s="741"/>
      <c r="Y142" s="181">
        <f>SUMIFS('F3 - Relevé du personnel'!$E$4:$E$281,'F3 - Relevé du personnel'!$D$4:$D$281,$V142,'F3 - Relevé du personnel'!$C$4:$C$281,'F0 - Données générales'!$K$31,'F3 - Relevé du personnel'!$B$4:$B$281,"9.1")</f>
        <v>0</v>
      </c>
      <c r="Z142" s="181">
        <f>SUMIFS('F3 - Relevé du personnel'!$H$4:$H$281,'F3 - Relevé du personnel'!$D$4:$D$281,$V142,'F3 - Relevé du personnel'!$C$4:$C$281,'F0 - Données générales'!$K$31,'F3 - Relevé du personnel'!$B$4:$B$281,"9.1")</f>
        <v>0</v>
      </c>
      <c r="AA142" s="256">
        <f>SUMIFS('F3 - Relevé du personnel'!$I$4:$I$281,'F3 - Relevé du personnel'!$D$4:$D$281,$V142,'F3 - Relevé du personnel'!$C$4:$C$281,'F0 - Données générales'!$K$31,'F3 - Relevé du personnel'!$B$4:$B$281,"9.1")</f>
        <v>0</v>
      </c>
      <c r="AB142" s="256">
        <f>SUMIFS('F3 - Relevé du personnel'!$M$4:$M$281,'F3 - Relevé du personnel'!$D$4:$D$281,$V142,'F3 - Relevé du personnel'!$C$4:$C$281,'F0 - Données générales'!$K$31,'F3 - Relevé du personnel'!$B$4:$B$281,"9.1")</f>
        <v>0</v>
      </c>
      <c r="AC142" s="196">
        <f t="shared" si="96"/>
        <v>0</v>
      </c>
      <c r="AD142" s="256">
        <f>SUMIFS('F3 - Relevé du personnel'!$O$4:$O$281,'F3 - Relevé du personnel'!$D$4:$D$281,$V142,'F3 - Relevé du personnel'!$C$4:$C$281,'F0 - Données générales'!$K$31,'F3 - Relevé du personnel'!$B$4:$B$281,"9.1")</f>
        <v>0</v>
      </c>
      <c r="AE142" s="256">
        <f>SUMIFS('F3 - Relevé du personnel'!$P$4:$P$281,'F3 - Relevé du personnel'!$D$4:$D$281,$V142,'F3 - Relevé du personnel'!$C$4:$C$281,'F0 - Données générales'!$K$31,'F3 - Relevé du personnel'!$B$4:$B$281,"9.1")</f>
        <v>0</v>
      </c>
      <c r="AF142" s="256">
        <f>SUMIFS('F3 - Relevé du personnel'!$Q$4:$Q$281,'F3 - Relevé du personnel'!$D$4:$D$281,$V142,'F3 - Relevé du personnel'!$C$4:$C$281,'F0 - Données générales'!$K$31,'F3 - Relevé du personnel'!$B$4:$B$281,"9.1")</f>
        <v>0</v>
      </c>
      <c r="AG142" s="182">
        <f t="shared" si="97"/>
        <v>0</v>
      </c>
      <c r="AH142" s="197" t="str">
        <f t="shared" si="100"/>
        <v/>
      </c>
      <c r="AI142" s="198" t="str">
        <f>IF(Y142=0,"",(SUMPRODUCT(($D$4:$D$253=V142)*($C$4:$C$253='F0 - Données générales'!$K$31)*($E$4:$E$253)*($F$4:$F$253)*($B$4:$B$253="9.1"))+SUMPRODUCT(($D$257:$D$281=V142)*($C$257:$C$281='F0 - Données générales'!$K$31)*($B$257:$B$281="9.1")*($E$257:$E$281)*($F$257:$F$281)))/(SUMIFS('F3 - Relevé du personnel'!$E$4:$E$281,'F3 - Relevé du personnel'!$D$4:$D$281,$V142,'F3 - Relevé du personnel'!$C$4:$C$281,'F0 - Données générales'!$K$31,'F3 - Relevé du personnel'!$B$4:$B$281,"9.1")))</f>
        <v/>
      </c>
      <c r="AK142" s="742" t="s">
        <v>61</v>
      </c>
      <c r="AL142" s="742"/>
      <c r="AM142" s="26" t="s">
        <v>68</v>
      </c>
      <c r="AN142" s="741" t="s">
        <v>69</v>
      </c>
      <c r="AO142" s="741"/>
      <c r="AP142" s="181">
        <f>SUMIFS('F3 - Relevé du personnel'!$E$4:$E$281,'F3 - Relevé du personnel'!$D$4:$D$281,$AM142,'F3 - Relevé du personnel'!$C$4:$C$281,'F0 - Données générales'!$K$31,'F3 - Relevé du personnel'!$B$4:$B$281,"Petit groupe")</f>
        <v>0</v>
      </c>
      <c r="AQ142" s="181">
        <f>SUMIFS('F3 - Relevé du personnel'!$H$4:$H$281,'F3 - Relevé du personnel'!$D$4:$D$281,$AM142,'F3 - Relevé du personnel'!$C$4:$C$281,'F0 - Données générales'!$K$31,'F3 - Relevé du personnel'!$B$4:$B$281,"Petit groupe")</f>
        <v>0</v>
      </c>
      <c r="AR142" s="256">
        <f>SUMIFS('F3 - Relevé du personnel'!$I$4:$I$281,'F3 - Relevé du personnel'!$D$4:$D$281,$AM142,'F3 - Relevé du personnel'!$C$4:$C$281,'F0 - Données générales'!$K$31,'F3 - Relevé du personnel'!$B$4:$B$281,"Petit groupe")</f>
        <v>0</v>
      </c>
      <c r="AS142" s="256">
        <f>SUMIFS('F3 - Relevé du personnel'!$M$4:$M$281,'F3 - Relevé du personnel'!$D$4:$D$281,$AM142,'F3 - Relevé du personnel'!$C$4:$C$281,'F0 - Données générales'!$K$31,'F3 - Relevé du personnel'!$B$4:$B$281,"Petit groupe")</f>
        <v>0</v>
      </c>
      <c r="AT142" s="196">
        <f t="shared" si="98"/>
        <v>0</v>
      </c>
      <c r="AU142" s="256">
        <f>SUMIFS('F3 - Relevé du personnel'!$O$4:$O$281,'F3 - Relevé du personnel'!$D$4:$D$281,$AM142,'F3 - Relevé du personnel'!$C$4:$C$281,'F0 - Données générales'!$K$31,'F3 - Relevé du personnel'!$B$4:$B$281,"Petit groupe")</f>
        <v>0</v>
      </c>
      <c r="AV142" s="256">
        <f>SUMIFS('F3 - Relevé du personnel'!$P$4:$P$281,'F3 - Relevé du personnel'!$D$4:$D$281,$AM142,'F3 - Relevé du personnel'!$C$4:$C$281,'F0 - Données générales'!$K$31,'F3 - Relevé du personnel'!$B$4:$B$281,"Petit groupe")</f>
        <v>0</v>
      </c>
      <c r="AW142" s="256">
        <f>SUMIFS('F3 - Relevé du personnel'!$Q$4:$Q$281,'F3 - Relevé du personnel'!$D$4:$D$281,$AM142,'F3 - Relevé du personnel'!$C$4:$C$281,'F0 - Données générales'!$K$31,'F3 - Relevé du personnel'!$B$4:$B$281,"Petit groupe")</f>
        <v>0</v>
      </c>
      <c r="AX142" s="182">
        <f t="shared" si="101"/>
        <v>0</v>
      </c>
      <c r="AY142" s="197" t="str">
        <f t="shared" si="102"/>
        <v/>
      </c>
      <c r="AZ142" s="198" t="str">
        <f>IF(AP142=0,"",(SUMPRODUCT(($D$4:$D$253=AM142)*($C$4:$C$253='F0 - Données générales'!$K$31)*($E$4:$E$253)*($F$4:$F$253)*($B$4:$B$253="0-3 ans"))+SUMPRODUCT(($D$257:$D$281=AM142)*($C$257:$C$281='F0 - Données générales'!$K$31)*($B$257:$B$281="0-3 ans")*($E$257:$E$281)*($F$257:$F$281)))/(SUMIFS('F3 - Relevé du personnel'!$E$4:$E$281,'F3 - Relevé du personnel'!$D$4:$D$281,$AM142,'F3 - Relevé du personnel'!$C$4:$C$281,'F0 - Données générales'!$K$31,'F3 - Relevé du personnel'!$B$4:$B$281,"0-3 ans")))</f>
        <v/>
      </c>
      <c r="BB142" s="760" t="s">
        <v>65</v>
      </c>
      <c r="BC142" s="761"/>
      <c r="BD142" s="13" t="s">
        <v>278</v>
      </c>
      <c r="BE142" s="758"/>
      <c r="BF142" s="759"/>
      <c r="BG142" s="45">
        <f>SUMIFS('F3 - Relevé du personnel'!$E$4:$E$281,'F3 - Relevé du personnel'!$D$4:$D$281,$BD142,'F3 - Relevé du personnel'!$C$4:$C$281,'F0 - Données générales'!$K$34)</f>
        <v>0</v>
      </c>
      <c r="BH142" s="259">
        <f>SUMIFS('F3 - Relevé du personnel'!$I$4:$I$281,'F3 - Relevé du personnel'!$D$4:$D$281,$BD142,'F3 - Relevé du personnel'!$C$4:$C$281,'F0 - Données générales'!$K$34)</f>
        <v>0</v>
      </c>
      <c r="BI142" s="259">
        <f>SUMIFS('F3 - Relevé du personnel'!$M$4:$M$281,'F3 - Relevé du personnel'!$D$4:$D$281,$BD142,'F3 - Relevé du personnel'!$C$4:$C$281,'F0 - Données générales'!$K$34)</f>
        <v>0</v>
      </c>
      <c r="BJ142" s="189">
        <f t="shared" si="87"/>
        <v>0</v>
      </c>
      <c r="BK142" s="259">
        <f>SUMIFS('F3 - Relevé du personnel'!$O$4:$O$281,'F3 - Relevé du personnel'!$D$4:$D$281,$BD142,'F3 - Relevé du personnel'!$C$4:$C$281,'F0 - Données générales'!$K$34)</f>
        <v>0</v>
      </c>
      <c r="BL142" s="259">
        <f>SUMIFS('F3 - Relevé du personnel'!$P$4:$P$281,'F3 - Relevé du personnel'!$D$4:$D$281,$BD142,'F3 - Relevé du personnel'!$C$4:$C$281,'F0 - Données générales'!$K$34)</f>
        <v>0</v>
      </c>
      <c r="BM142" s="259">
        <f>SUMIFS('F3 - Relevé du personnel'!$Q$4:$Q$281,'F3 - Relevé du personnel'!$D$4:$D$281,$BD142,'F3 - Relevé du personnel'!$C$4:$C$281,'F0 - Données générales'!$K$34)</f>
        <v>0</v>
      </c>
      <c r="BN142" s="48">
        <f t="shared" si="99"/>
        <v>0</v>
      </c>
      <c r="BO142" s="187" t="str">
        <f t="shared" si="88"/>
        <v/>
      </c>
      <c r="BP142" s="188" t="str">
        <f>IF(BG142=0,"",(SUMPRODUCT(($D$4:$D$253=BD142)*($C$4:$C$253='F0 - Données générales'!$K$34)*($E$4:$E$253)*($F$4:$F$253))+SUMPRODUCT(($D$257:$D$281=BD142)*($C$257:$C$281='F0 - Données générales'!$K$34)*($E$257:$E$281)*($F$257:$F$281)))/(SUMIFS('F3 - Relevé du personnel'!$E$4:$E$281,'F3 - Relevé du personnel'!$D$4:$D$281,$BD142,'F3 - Relevé du personnel'!$C$4:$C$281,'F0 - Données générales'!$K$34)))</f>
        <v/>
      </c>
      <c r="BS142" s="14"/>
      <c r="BT142" s="14"/>
      <c r="BV142" s="14"/>
    </row>
    <row r="143" spans="1:74" ht="15" customHeight="1" x14ac:dyDescent="0.3">
      <c r="A143" s="106">
        <v>140</v>
      </c>
      <c r="B143" s="324">
        <f>'F0 - Données générales'!$C$4</f>
        <v>7</v>
      </c>
      <c r="C143" s="106" t="s">
        <v>95</v>
      </c>
      <c r="D143" s="106"/>
      <c r="E143" s="107"/>
      <c r="F143" s="108"/>
      <c r="G143" s="109"/>
      <c r="H143" s="110">
        <f t="shared" si="90"/>
        <v>0</v>
      </c>
      <c r="I143" s="177"/>
      <c r="J143" s="118" t="str">
        <f>IF(OR(D143="",F143=""),"",(((HLOOKUP(D143,'Carrières et points'!$A$20:$AD$60,F143+2,FALSE)*'Carrières et points'!$C$7*'Carrières et points'!$C$9)+(HLOOKUP(D143,'Carrières et points'!$A$20:$AD$60,F143+2,FALSE)*'Carrières et points'!$C$13*'Carrières et points'!$C$15))*(1+'F0 - Données générales'!$I$4)+((HLOOKUP(D143,'Carrières et points'!$A$20:$AD$60,F143+2,FALSE)*'Carrières et points'!$C$7*'Carrières et points'!$C$9)+(HLOOKUP(D143,'Carrières et points'!$A$20:$AD$60,F143+2,FALSE)*'Carrières et points'!$C$13*'Carrières et points'!$C$15))/12*(1+'F0 - Données générales'!$L$13))*E143)</f>
        <v/>
      </c>
      <c r="K143" s="118" t="str">
        <f t="shared" si="91"/>
        <v/>
      </c>
      <c r="L143" s="109"/>
      <c r="M143" s="177"/>
      <c r="N143" s="118" t="str">
        <f t="shared" si="92"/>
        <v/>
      </c>
      <c r="O143" s="177"/>
      <c r="P143" s="177"/>
      <c r="Q143" s="177"/>
      <c r="R143" s="255" t="str">
        <f t="shared" si="93"/>
        <v/>
      </c>
      <c r="S143" s="120"/>
      <c r="T143" s="742" t="s">
        <v>64</v>
      </c>
      <c r="U143" s="742"/>
      <c r="V143" s="26" t="s">
        <v>70</v>
      </c>
      <c r="W143" s="741" t="s">
        <v>71</v>
      </c>
      <c r="X143" s="741"/>
      <c r="Y143" s="181">
        <f>SUMIFS('F3 - Relevé du personnel'!$E$4:$E$281,'F3 - Relevé du personnel'!$D$4:$D$281,$V143,'F3 - Relevé du personnel'!$C$4:$C$281,'F0 - Données générales'!$K$31,'F3 - Relevé du personnel'!$B$4:$B$281,"9.1")</f>
        <v>0</v>
      </c>
      <c r="Z143" s="181">
        <f>SUMIFS('F3 - Relevé du personnel'!$H$4:$H$281,'F3 - Relevé du personnel'!$D$4:$D$281,$V143,'F3 - Relevé du personnel'!$C$4:$C$281,'F0 - Données générales'!$K$31,'F3 - Relevé du personnel'!$B$4:$B$281,"9.1")</f>
        <v>0</v>
      </c>
      <c r="AA143" s="256">
        <f>SUMIFS('F3 - Relevé du personnel'!$I$4:$I$281,'F3 - Relevé du personnel'!$D$4:$D$281,$V143,'F3 - Relevé du personnel'!$C$4:$C$281,'F0 - Données générales'!$K$31,'F3 - Relevé du personnel'!$B$4:$B$281,"9.1")</f>
        <v>0</v>
      </c>
      <c r="AB143" s="256">
        <f>SUMIFS('F3 - Relevé du personnel'!$M$4:$M$281,'F3 - Relevé du personnel'!$D$4:$D$281,$V143,'F3 - Relevé du personnel'!$C$4:$C$281,'F0 - Données générales'!$K$31,'F3 - Relevé du personnel'!$B$4:$B$281,"9.1")</f>
        <v>0</v>
      </c>
      <c r="AC143" s="196">
        <f t="shared" si="96"/>
        <v>0</v>
      </c>
      <c r="AD143" s="256">
        <f>SUMIFS('F3 - Relevé du personnel'!$O$4:$O$281,'F3 - Relevé du personnel'!$D$4:$D$281,$V143,'F3 - Relevé du personnel'!$C$4:$C$281,'F0 - Données générales'!$K$31,'F3 - Relevé du personnel'!$B$4:$B$281,"9.1")</f>
        <v>0</v>
      </c>
      <c r="AE143" s="256">
        <f>SUMIFS('F3 - Relevé du personnel'!$P$4:$P$281,'F3 - Relevé du personnel'!$D$4:$D$281,$V143,'F3 - Relevé du personnel'!$C$4:$C$281,'F0 - Données générales'!$K$31,'F3 - Relevé du personnel'!$B$4:$B$281,"9.1")</f>
        <v>0</v>
      </c>
      <c r="AF143" s="256">
        <f>SUMIFS('F3 - Relevé du personnel'!$Q$4:$Q$281,'F3 - Relevé du personnel'!$D$4:$D$281,$V143,'F3 - Relevé du personnel'!$C$4:$C$281,'F0 - Données générales'!$K$31,'F3 - Relevé du personnel'!$B$4:$B$281,"9.1")</f>
        <v>0</v>
      </c>
      <c r="AG143" s="182">
        <f t="shared" si="97"/>
        <v>0</v>
      </c>
      <c r="AH143" s="197" t="str">
        <f t="shared" si="100"/>
        <v/>
      </c>
      <c r="AI143" s="198" t="str">
        <f>IF(Y143=0,"",(SUMPRODUCT(($D$4:$D$253=V143)*($C$4:$C$253='F0 - Données générales'!$K$31)*($E$4:$E$253)*($F$4:$F$253)*($B$4:$B$253="9.1"))+SUMPRODUCT(($D$257:$D$281=V143)*($C$257:$C$281='F0 - Données générales'!$K$31)*($B$257:$B$281="9.1")*($E$257:$E$281)*($F$257:$F$281)))/(SUMIFS('F3 - Relevé du personnel'!$E$4:$E$281,'F3 - Relevé du personnel'!$D$4:$D$281,$V143,'F3 - Relevé du personnel'!$C$4:$C$281,'F0 - Données générales'!$K$31,'F3 - Relevé du personnel'!$B$4:$B$281,"9.1")))</f>
        <v/>
      </c>
      <c r="AK143" s="742" t="s">
        <v>64</v>
      </c>
      <c r="AL143" s="742"/>
      <c r="AM143" s="26" t="s">
        <v>70</v>
      </c>
      <c r="AN143" s="741" t="s">
        <v>71</v>
      </c>
      <c r="AO143" s="741"/>
      <c r="AP143" s="181">
        <f>SUMIFS('F3 - Relevé du personnel'!$E$4:$E$281,'F3 - Relevé du personnel'!$D$4:$D$281,$AM143,'F3 - Relevé du personnel'!$C$4:$C$281,'F0 - Données générales'!$K$31,'F3 - Relevé du personnel'!$B$4:$B$281,"Petit groupe")</f>
        <v>0</v>
      </c>
      <c r="AQ143" s="181">
        <f>SUMIFS('F3 - Relevé du personnel'!$H$4:$H$281,'F3 - Relevé du personnel'!$D$4:$D$281,$AM143,'F3 - Relevé du personnel'!$C$4:$C$281,'F0 - Données générales'!$K$31,'F3 - Relevé du personnel'!$B$4:$B$281,"Petit groupe")</f>
        <v>0</v>
      </c>
      <c r="AR143" s="256">
        <f>SUMIFS('F3 - Relevé du personnel'!$I$4:$I$281,'F3 - Relevé du personnel'!$D$4:$D$281,$AM143,'F3 - Relevé du personnel'!$C$4:$C$281,'F0 - Données générales'!$K$31,'F3 - Relevé du personnel'!$B$4:$B$281,"Petit groupe")</f>
        <v>0</v>
      </c>
      <c r="AS143" s="256">
        <f>SUMIFS('F3 - Relevé du personnel'!$M$4:$M$281,'F3 - Relevé du personnel'!$D$4:$D$281,$AM143,'F3 - Relevé du personnel'!$C$4:$C$281,'F0 - Données générales'!$K$31,'F3 - Relevé du personnel'!$B$4:$B$281,"Petit groupe")</f>
        <v>0</v>
      </c>
      <c r="AT143" s="196">
        <f>(AR143+AS143)</f>
        <v>0</v>
      </c>
      <c r="AU143" s="256">
        <f>SUMIFS('F3 - Relevé du personnel'!$O$4:$O$281,'F3 - Relevé du personnel'!$D$4:$D$281,$AM143,'F3 - Relevé du personnel'!$C$4:$C$281,'F0 - Données générales'!$K$31,'F3 - Relevé du personnel'!$B$4:$B$281,"Petit groupe")</f>
        <v>0</v>
      </c>
      <c r="AV143" s="256">
        <f>SUMIFS('F3 - Relevé du personnel'!$P$4:$P$281,'F3 - Relevé du personnel'!$D$4:$D$281,$AM143,'F3 - Relevé du personnel'!$C$4:$C$281,'F0 - Données générales'!$K$31,'F3 - Relevé du personnel'!$B$4:$B$281,"Petit groupe")</f>
        <v>0</v>
      </c>
      <c r="AW143" s="256">
        <f>SUMIFS('F3 - Relevé du personnel'!$Q$4:$Q$281,'F3 - Relevé du personnel'!$D$4:$D$281,$AM143,'F3 - Relevé du personnel'!$C$4:$C$281,'F0 - Données générales'!$K$31,'F3 - Relevé du personnel'!$B$4:$B$281,"Petit groupe")</f>
        <v>0</v>
      </c>
      <c r="AX143" s="182">
        <f>AR143+AS143-SUM(AU143:AW143)</f>
        <v>0</v>
      </c>
      <c r="AY143" s="197" t="str">
        <f t="shared" si="102"/>
        <v/>
      </c>
      <c r="AZ143" s="198" t="str">
        <f>IF(AP143=0,"",(SUMPRODUCT(($D$4:$D$253=AM143)*($C$4:$C$253='F0 - Données générales'!$K$31)*($E$4:$E$253)*($F$4:$F$253)*($B$4:$B$253="0-3 ans"))+SUMPRODUCT(($D$257:$D$281=AM143)*($C$257:$C$281='F0 - Données générales'!$K$31)*($B$257:$B$281="0-3 ans")*($E$257:$E$281)*($F$257:$F$281)))/(SUMIFS('F3 - Relevé du personnel'!$E$4:$E$281,'F3 - Relevé du personnel'!$D$4:$D$281,$AM143,'F3 - Relevé du personnel'!$C$4:$C$281,'F0 - Données générales'!$K$31,'F3 - Relevé du personnel'!$B$4:$B$281,"0-3 ans")))</f>
        <v/>
      </c>
      <c r="BB143" s="760" t="s">
        <v>79</v>
      </c>
      <c r="BC143" s="761"/>
      <c r="BD143" s="13" t="s">
        <v>279</v>
      </c>
      <c r="BE143" s="758"/>
      <c r="BF143" s="759"/>
      <c r="BG143" s="45">
        <f>SUMIFS('F3 - Relevé du personnel'!$E$4:$E$281,'F3 - Relevé du personnel'!$D$4:$D$281,$BD143,'F3 - Relevé du personnel'!$C$4:$C$281,'F0 - Données générales'!$K$34)</f>
        <v>0</v>
      </c>
      <c r="BH143" s="259">
        <f>SUMIFS('F3 - Relevé du personnel'!$I$4:$I$281,'F3 - Relevé du personnel'!$D$4:$D$281,$BD143,'F3 - Relevé du personnel'!$C$4:$C$281,'F0 - Données générales'!$K$34)</f>
        <v>0</v>
      </c>
      <c r="BI143" s="259">
        <f>SUMIFS('F3 - Relevé du personnel'!$M$4:$M$281,'F3 - Relevé du personnel'!$D$4:$D$281,$BD143,'F3 - Relevé du personnel'!$C$4:$C$281,'F0 - Données générales'!$K$34)</f>
        <v>0</v>
      </c>
      <c r="BJ143" s="189">
        <f t="shared" si="87"/>
        <v>0</v>
      </c>
      <c r="BK143" s="259">
        <f>SUMIFS('F3 - Relevé du personnel'!$O$4:$O$281,'F3 - Relevé du personnel'!$D$4:$D$281,$BD143,'F3 - Relevé du personnel'!$C$4:$C$281,'F0 - Données générales'!$K$34)</f>
        <v>0</v>
      </c>
      <c r="BL143" s="259">
        <f>SUMIFS('F3 - Relevé du personnel'!$P$4:$P$281,'F3 - Relevé du personnel'!$D$4:$D$281,$BD143,'F3 - Relevé du personnel'!$C$4:$C$281,'F0 - Données générales'!$K$34)</f>
        <v>0</v>
      </c>
      <c r="BM143" s="259">
        <f>SUMIFS('F3 - Relevé du personnel'!$Q$4:$Q$281,'F3 - Relevé du personnel'!$D$4:$D$281,$BD143,'F3 - Relevé du personnel'!$C$4:$C$281,'F0 - Données générales'!$K$34)</f>
        <v>0</v>
      </c>
      <c r="BN143" s="48">
        <f t="shared" si="99"/>
        <v>0</v>
      </c>
      <c r="BO143" s="187" t="str">
        <f t="shared" si="88"/>
        <v/>
      </c>
      <c r="BP143" s="188" t="str">
        <f>IF(BG143=0,"",(SUMPRODUCT(($D$4:$D$253=BD143)*($C$4:$C$253='F0 - Données générales'!$K$34)*($E$4:$E$253)*($F$4:$F$253))+SUMPRODUCT(($D$257:$D$281=BD143)*($C$257:$C$281='F0 - Données générales'!$K$34)*($E$257:$E$281)*($F$257:$F$281)))/(SUMIFS('F3 - Relevé du personnel'!$E$4:$E$281,'F3 - Relevé du personnel'!$D$4:$D$281,$BD143,'F3 - Relevé du personnel'!$C$4:$C$281,'F0 - Données générales'!$K$34)))</f>
        <v/>
      </c>
      <c r="BU143" s="14"/>
      <c r="BV143" s="14"/>
    </row>
    <row r="144" spans="1:74" ht="15" customHeight="1" x14ac:dyDescent="0.3">
      <c r="A144" s="106">
        <v>141</v>
      </c>
      <c r="B144" s="324">
        <f>'F0 - Données générales'!$C$4</f>
        <v>7</v>
      </c>
      <c r="C144" s="106" t="s">
        <v>95</v>
      </c>
      <c r="D144" s="106"/>
      <c r="E144" s="107"/>
      <c r="F144" s="108"/>
      <c r="G144" s="109"/>
      <c r="H144" s="110">
        <f t="shared" si="90"/>
        <v>0</v>
      </c>
      <c r="I144" s="177"/>
      <c r="J144" s="118" t="str">
        <f>IF(OR(D144="",F144=""),"",(((HLOOKUP(D144,'Carrières et points'!$A$20:$AD$60,F144+2,FALSE)*'Carrières et points'!$C$7*'Carrières et points'!$C$9)+(HLOOKUP(D144,'Carrières et points'!$A$20:$AD$60,F144+2,FALSE)*'Carrières et points'!$C$13*'Carrières et points'!$C$15))*(1+'F0 - Données générales'!$I$4)+((HLOOKUP(D144,'Carrières et points'!$A$20:$AD$60,F144+2,FALSE)*'Carrières et points'!$C$7*'Carrières et points'!$C$9)+(HLOOKUP(D144,'Carrières et points'!$A$20:$AD$60,F144+2,FALSE)*'Carrières et points'!$C$13*'Carrières et points'!$C$15))/12*(1+'F0 - Données générales'!$L$13))*E144)</f>
        <v/>
      </c>
      <c r="K144" s="118" t="str">
        <f t="shared" si="91"/>
        <v/>
      </c>
      <c r="L144" s="109"/>
      <c r="M144" s="177"/>
      <c r="N144" s="118" t="str">
        <f t="shared" si="92"/>
        <v/>
      </c>
      <c r="O144" s="177"/>
      <c r="P144" s="177"/>
      <c r="Q144" s="177"/>
      <c r="R144" s="255" t="str">
        <f t="shared" si="93"/>
        <v/>
      </c>
      <c r="S144" s="120"/>
      <c r="T144" s="742" t="s">
        <v>64</v>
      </c>
      <c r="U144" s="742"/>
      <c r="V144" s="26" t="s">
        <v>72</v>
      </c>
      <c r="W144" s="741" t="s">
        <v>73</v>
      </c>
      <c r="X144" s="741"/>
      <c r="Y144" s="181">
        <f>SUMIFS('F3 - Relevé du personnel'!$E$4:$E$281,'F3 - Relevé du personnel'!$D$4:$D$281,$V144,'F3 - Relevé du personnel'!$C$4:$C$281,'F0 - Données générales'!$K$31,'F3 - Relevé du personnel'!$B$4:$B$281,"9.1")</f>
        <v>0</v>
      </c>
      <c r="Z144" s="181">
        <f>SUMIFS('F3 - Relevé du personnel'!$H$4:$H$281,'F3 - Relevé du personnel'!$D$4:$D$281,$V144,'F3 - Relevé du personnel'!$C$4:$C$281,'F0 - Données générales'!$K$31,'F3 - Relevé du personnel'!$B$4:$B$281,"9.1")</f>
        <v>0</v>
      </c>
      <c r="AA144" s="256">
        <f>SUMIFS('F3 - Relevé du personnel'!$I$4:$I$281,'F3 - Relevé du personnel'!$D$4:$D$281,$V144,'F3 - Relevé du personnel'!$C$4:$C$281,'F0 - Données générales'!$K$31,'F3 - Relevé du personnel'!$B$4:$B$281,"9.1")</f>
        <v>0</v>
      </c>
      <c r="AB144" s="256">
        <f>SUMIFS('F3 - Relevé du personnel'!$M$4:$M$281,'F3 - Relevé du personnel'!$D$4:$D$281,$V144,'F3 - Relevé du personnel'!$C$4:$C$281,'F0 - Données générales'!$K$31,'F3 - Relevé du personnel'!$B$4:$B$281,"9.1")</f>
        <v>0</v>
      </c>
      <c r="AC144" s="196">
        <f t="shared" si="96"/>
        <v>0</v>
      </c>
      <c r="AD144" s="256">
        <f>SUMIFS('F3 - Relevé du personnel'!$O$4:$O$281,'F3 - Relevé du personnel'!$D$4:$D$281,$V144,'F3 - Relevé du personnel'!$C$4:$C$281,'F0 - Données générales'!$K$31,'F3 - Relevé du personnel'!$B$4:$B$281,"9.1")</f>
        <v>0</v>
      </c>
      <c r="AE144" s="256">
        <f>SUMIFS('F3 - Relevé du personnel'!$P$4:$P$281,'F3 - Relevé du personnel'!$D$4:$D$281,$V144,'F3 - Relevé du personnel'!$C$4:$C$281,'F0 - Données générales'!$K$31,'F3 - Relevé du personnel'!$B$4:$B$281,"9.1")</f>
        <v>0</v>
      </c>
      <c r="AF144" s="256">
        <f>SUMIFS('F3 - Relevé du personnel'!$Q$4:$Q$281,'F3 - Relevé du personnel'!$D$4:$D$281,$V144,'F3 - Relevé du personnel'!$C$4:$C$281,'F0 - Données générales'!$K$31,'F3 - Relevé du personnel'!$B$4:$B$281,"9.1")</f>
        <v>0</v>
      </c>
      <c r="AG144" s="182">
        <f t="shared" si="97"/>
        <v>0</v>
      </c>
      <c r="AH144" s="197" t="str">
        <f t="shared" si="100"/>
        <v/>
      </c>
      <c r="AI144" s="198" t="str">
        <f>IF(Y144=0,"",(SUMPRODUCT(($D$4:$D$253=V144)*($C$4:$C$253='F0 - Données générales'!$K$31)*($E$4:$E$253)*($F$4:$F$253)*($B$4:$B$253="9.1"))+SUMPRODUCT(($D$257:$D$281=V144)*($C$257:$C$281='F0 - Données générales'!$K$31)*($B$257:$B$281="9.1")*($E$257:$E$281)*($F$257:$F$281)))/(SUMIFS('F3 - Relevé du personnel'!$E$4:$E$281,'F3 - Relevé du personnel'!$D$4:$D$281,$V144,'F3 - Relevé du personnel'!$C$4:$C$281,'F0 - Données générales'!$K$31,'F3 - Relevé du personnel'!$B$4:$B$281,"9.1")))</f>
        <v/>
      </c>
      <c r="AK144" s="742" t="s">
        <v>64</v>
      </c>
      <c r="AL144" s="742"/>
      <c r="AM144" s="26" t="s">
        <v>72</v>
      </c>
      <c r="AN144" s="741" t="s">
        <v>73</v>
      </c>
      <c r="AO144" s="741"/>
      <c r="AP144" s="181">
        <f>SUMIFS('F3 - Relevé du personnel'!$E$4:$E$281,'F3 - Relevé du personnel'!$D$4:$D$281,$AM144,'F3 - Relevé du personnel'!$C$4:$C$281,'F0 - Données générales'!$K$31,'F3 - Relevé du personnel'!$B$4:$B$281,"Petit groupe")</f>
        <v>0</v>
      </c>
      <c r="AQ144" s="181">
        <f>SUMIFS('F3 - Relevé du personnel'!$H$4:$H$281,'F3 - Relevé du personnel'!$D$4:$D$281,$AM144,'F3 - Relevé du personnel'!$C$4:$C$281,'F0 - Données générales'!$K$31,'F3 - Relevé du personnel'!$B$4:$B$281,"Petit groupe")</f>
        <v>0</v>
      </c>
      <c r="AR144" s="256">
        <f>SUMIFS('F3 - Relevé du personnel'!$I$4:$I$281,'F3 - Relevé du personnel'!$D$4:$D$281,$AM144,'F3 - Relevé du personnel'!$C$4:$C$281,'F0 - Données générales'!$K$31,'F3 - Relevé du personnel'!$B$4:$B$281,"Petit groupe")</f>
        <v>0</v>
      </c>
      <c r="AS144" s="256">
        <f>SUMIFS('F3 - Relevé du personnel'!$M$4:$M$281,'F3 - Relevé du personnel'!$D$4:$D$281,$AM144,'F3 - Relevé du personnel'!$C$4:$C$281,'F0 - Données générales'!$K$31,'F3 - Relevé du personnel'!$B$4:$B$281,"Petit groupe")</f>
        <v>0</v>
      </c>
      <c r="AT144" s="196">
        <f t="shared" si="98"/>
        <v>0</v>
      </c>
      <c r="AU144" s="256">
        <f>SUMIFS('F3 - Relevé du personnel'!$O$4:$O$281,'F3 - Relevé du personnel'!$D$4:$D$281,$AM144,'F3 - Relevé du personnel'!$C$4:$C$281,'F0 - Données générales'!$K$31,'F3 - Relevé du personnel'!$B$4:$B$281,"Petit groupe")</f>
        <v>0</v>
      </c>
      <c r="AV144" s="256">
        <f>SUMIFS('F3 - Relevé du personnel'!$P$4:$P$281,'F3 - Relevé du personnel'!$D$4:$D$281,$AM144,'F3 - Relevé du personnel'!$C$4:$C$281,'F0 - Données générales'!$K$31,'F3 - Relevé du personnel'!$B$4:$B$281,"Petit groupe")</f>
        <v>0</v>
      </c>
      <c r="AW144" s="256">
        <f>SUMIFS('F3 - Relevé du personnel'!$Q$4:$Q$281,'F3 - Relevé du personnel'!$D$4:$D$281,$AM144,'F3 - Relevé du personnel'!$C$4:$C$281,'F0 - Données générales'!$K$31,'F3 - Relevé du personnel'!$B$4:$B$281,"Petit groupe")</f>
        <v>0</v>
      </c>
      <c r="AX144" s="182">
        <f t="shared" si="101"/>
        <v>0</v>
      </c>
      <c r="AY144" s="197" t="str">
        <f>IF(AP144=0,"",(AX144)/AP144)</f>
        <v/>
      </c>
      <c r="AZ144" s="198" t="str">
        <f>IF(AP144=0,"",(SUMPRODUCT(($D$4:$D$253=AM144)*($C$4:$C$253='F0 - Données générales'!$K$31)*($E$4:$E$253)*($F$4:$F$253)*($B$4:$B$253="0-3 ans"))+SUMPRODUCT(($D$257:$D$281=AM144)*($C$257:$C$281='F0 - Données générales'!$K$31)*($B$257:$B$281="0-3 ans")*($E$257:$E$281)*($F$257:$F$281)))/(SUMIFS('F3 - Relevé du personnel'!$E$4:$E$281,'F3 - Relevé du personnel'!$D$4:$D$281,$AM144,'F3 - Relevé du personnel'!$C$4:$C$281,'F0 - Données générales'!$K$31,'F3 - Relevé du personnel'!$B$4:$B$281,"0-3 ans")))</f>
        <v/>
      </c>
      <c r="BB144" s="760" t="s">
        <v>65</v>
      </c>
      <c r="BC144" s="761"/>
      <c r="BD144" s="13" t="s">
        <v>280</v>
      </c>
      <c r="BE144" s="758"/>
      <c r="BF144" s="759"/>
      <c r="BG144" s="45">
        <f>SUMIFS('F3 - Relevé du personnel'!$E$4:$E$281,'F3 - Relevé du personnel'!$D$4:$D$281,$BD144,'F3 - Relevé du personnel'!$C$4:$C$281,'F0 - Données générales'!$K$34)</f>
        <v>0</v>
      </c>
      <c r="BH144" s="259">
        <f>SUMIFS('F3 - Relevé du personnel'!$I$4:$I$281,'F3 - Relevé du personnel'!$D$4:$D$281,$BD144,'F3 - Relevé du personnel'!$C$4:$C$281,'F0 - Données générales'!$K$34)</f>
        <v>0</v>
      </c>
      <c r="BI144" s="259">
        <f>SUMIFS('F3 - Relevé du personnel'!$M$4:$M$281,'F3 - Relevé du personnel'!$D$4:$D$281,$BD144,'F3 - Relevé du personnel'!$C$4:$C$281,'F0 - Données générales'!$K$34)</f>
        <v>0</v>
      </c>
      <c r="BJ144" s="189">
        <f t="shared" si="87"/>
        <v>0</v>
      </c>
      <c r="BK144" s="259">
        <f>SUMIFS('F3 - Relevé du personnel'!$O$4:$O$281,'F3 - Relevé du personnel'!$D$4:$D$281,$BD144,'F3 - Relevé du personnel'!$C$4:$C$281,'F0 - Données générales'!$K$34)</f>
        <v>0</v>
      </c>
      <c r="BL144" s="259">
        <f>SUMIFS('F3 - Relevé du personnel'!$P$4:$P$281,'F3 - Relevé du personnel'!$D$4:$D$281,$BD144,'F3 - Relevé du personnel'!$C$4:$C$281,'F0 - Données générales'!$K$34)</f>
        <v>0</v>
      </c>
      <c r="BM144" s="259">
        <f>SUMIFS('F3 - Relevé du personnel'!$Q$4:$Q$281,'F3 - Relevé du personnel'!$D$4:$D$281,$BD144,'F3 - Relevé du personnel'!$C$4:$C$281,'F0 - Données générales'!$K$34)</f>
        <v>0</v>
      </c>
      <c r="BN144" s="48">
        <f t="shared" si="99"/>
        <v>0</v>
      </c>
      <c r="BO144" s="187" t="str">
        <f t="shared" si="88"/>
        <v/>
      </c>
      <c r="BP144" s="188" t="str">
        <f>IF(BG144=0,"",(SUMPRODUCT(($D$4:$D$253=BD144)*($C$4:$C$253='F0 - Données générales'!$K$34)*($E$4:$E$253)*($F$4:$F$253))+SUMPRODUCT(($D$257:$D$281=BD144)*($C$257:$C$281='F0 - Données générales'!$K$34)*($E$257:$E$281)*($F$257:$F$281)))/(SUMIFS('F3 - Relevé du personnel'!$E$4:$E$281,'F3 - Relevé du personnel'!$D$4:$D$281,$BD144,'F3 - Relevé du personnel'!$C$4:$C$281,'F0 - Données générales'!$K$34)))</f>
        <v/>
      </c>
      <c r="BS144" s="14"/>
      <c r="BT144" s="14"/>
      <c r="BU144" s="14"/>
      <c r="BV144" s="14"/>
    </row>
    <row r="145" spans="1:74" ht="15" customHeight="1" x14ac:dyDescent="0.3">
      <c r="A145" s="106">
        <v>142</v>
      </c>
      <c r="B145" s="324">
        <f>'F0 - Données générales'!$C$4</f>
        <v>7</v>
      </c>
      <c r="C145" s="106" t="s">
        <v>95</v>
      </c>
      <c r="D145" s="106"/>
      <c r="E145" s="107"/>
      <c r="F145" s="108"/>
      <c r="G145" s="109"/>
      <c r="H145" s="110">
        <f t="shared" si="90"/>
        <v>0</v>
      </c>
      <c r="I145" s="177"/>
      <c r="J145" s="118" t="str">
        <f>IF(OR(D145="",F145=""),"",(((HLOOKUP(D145,'Carrières et points'!$A$20:$AD$60,F145+2,FALSE)*'Carrières et points'!$C$7*'Carrières et points'!$C$9)+(HLOOKUP(D145,'Carrières et points'!$A$20:$AD$60,F145+2,FALSE)*'Carrières et points'!$C$13*'Carrières et points'!$C$15))*(1+'F0 - Données générales'!$I$4)+((HLOOKUP(D145,'Carrières et points'!$A$20:$AD$60,F145+2,FALSE)*'Carrières et points'!$C$7*'Carrières et points'!$C$9)+(HLOOKUP(D145,'Carrières et points'!$A$20:$AD$60,F145+2,FALSE)*'Carrières et points'!$C$13*'Carrières et points'!$C$15))/12*(1+'F0 - Données générales'!$L$13))*E145)</f>
        <v/>
      </c>
      <c r="K145" s="118" t="str">
        <f t="shared" si="91"/>
        <v/>
      </c>
      <c r="L145" s="109"/>
      <c r="M145" s="177"/>
      <c r="N145" s="118" t="str">
        <f t="shared" si="92"/>
        <v/>
      </c>
      <c r="O145" s="177"/>
      <c r="P145" s="177"/>
      <c r="Q145" s="177"/>
      <c r="R145" s="255" t="str">
        <f t="shared" si="93"/>
        <v/>
      </c>
      <c r="S145" s="120"/>
      <c r="T145" s="742" t="s">
        <v>65</v>
      </c>
      <c r="U145" s="742"/>
      <c r="V145" s="26" t="s">
        <v>74</v>
      </c>
      <c r="W145" s="741" t="s">
        <v>75</v>
      </c>
      <c r="X145" s="741"/>
      <c r="Y145" s="181">
        <f>SUMIFS('F3 - Relevé du personnel'!$E$4:$E$281,'F3 - Relevé du personnel'!$D$4:$D$281,$V145,'F3 - Relevé du personnel'!$C$4:$C$281,'F0 - Données générales'!$K$31,'F3 - Relevé du personnel'!$B$4:$B$281,"9.1")</f>
        <v>0</v>
      </c>
      <c r="Z145" s="181">
        <f>SUMIFS('F3 - Relevé du personnel'!$H$4:$H$281,'F3 - Relevé du personnel'!$D$4:$D$281,$V145,'F3 - Relevé du personnel'!$C$4:$C$281,'F0 - Données générales'!$K$31,'F3 - Relevé du personnel'!$B$4:$B$281,"9.1")</f>
        <v>0</v>
      </c>
      <c r="AA145" s="256">
        <f>SUMIFS('F3 - Relevé du personnel'!$I$4:$I$281,'F3 - Relevé du personnel'!$D$4:$D$281,$V145,'F3 - Relevé du personnel'!$C$4:$C$281,'F0 - Données générales'!$K$31,'F3 - Relevé du personnel'!$B$4:$B$281,"9.1")</f>
        <v>0</v>
      </c>
      <c r="AB145" s="256">
        <f>SUMIFS('F3 - Relevé du personnel'!$M$4:$M$281,'F3 - Relevé du personnel'!$D$4:$D$281,$V145,'F3 - Relevé du personnel'!$C$4:$C$281,'F0 - Données générales'!$K$31,'F3 - Relevé du personnel'!$B$4:$B$281,"9.1")</f>
        <v>0</v>
      </c>
      <c r="AC145" s="196">
        <f t="shared" si="96"/>
        <v>0</v>
      </c>
      <c r="AD145" s="256">
        <f>SUMIFS('F3 - Relevé du personnel'!$O$4:$O$281,'F3 - Relevé du personnel'!$D$4:$D$281,$V145,'F3 - Relevé du personnel'!$C$4:$C$281,'F0 - Données générales'!$K$31,'F3 - Relevé du personnel'!$B$4:$B$281,"9.1")</f>
        <v>0</v>
      </c>
      <c r="AE145" s="256">
        <f>SUMIFS('F3 - Relevé du personnel'!$P$4:$P$281,'F3 - Relevé du personnel'!$D$4:$D$281,$V145,'F3 - Relevé du personnel'!$C$4:$C$281,'F0 - Données générales'!$K$31,'F3 - Relevé du personnel'!$B$4:$B$281,"9.1")</f>
        <v>0</v>
      </c>
      <c r="AF145" s="256">
        <f>SUMIFS('F3 - Relevé du personnel'!$Q$4:$Q$281,'F3 - Relevé du personnel'!$D$4:$D$281,$V145,'F3 - Relevé du personnel'!$C$4:$C$281,'F0 - Données générales'!$K$31,'F3 - Relevé du personnel'!$B$4:$B$281,"9.1")</f>
        <v>0</v>
      </c>
      <c r="AG145" s="182">
        <f t="shared" si="97"/>
        <v>0</v>
      </c>
      <c r="AH145" s="197" t="str">
        <f t="shared" si="100"/>
        <v/>
      </c>
      <c r="AI145" s="198" t="str">
        <f>IF(Y145=0,"",(SUMPRODUCT(($D$4:$D$253=V145)*($C$4:$C$253='F0 - Données générales'!$K$31)*($E$4:$E$253)*($F$4:$F$253)*($B$4:$B$253="9.1"))+SUMPRODUCT(($D$257:$D$281=V145)*($C$257:$C$281='F0 - Données générales'!$K$31)*($B$257:$B$281="9.1")*($E$257:$E$281)*($F$257:$F$281)))/(SUMIFS('F3 - Relevé du personnel'!$E$4:$E$281,'F3 - Relevé du personnel'!$D$4:$D$281,$V145,'F3 - Relevé du personnel'!$C$4:$C$281,'F0 - Données générales'!$K$31,'F3 - Relevé du personnel'!$B$4:$B$281,"9.1")))</f>
        <v/>
      </c>
      <c r="AK145" s="742" t="s">
        <v>65</v>
      </c>
      <c r="AL145" s="742"/>
      <c r="AM145" s="26" t="s">
        <v>74</v>
      </c>
      <c r="AN145" s="741" t="s">
        <v>75</v>
      </c>
      <c r="AO145" s="741"/>
      <c r="AP145" s="181">
        <f>SUMIFS('F3 - Relevé du personnel'!$E$4:$E$281,'F3 - Relevé du personnel'!$D$4:$D$281,$AM145,'F3 - Relevé du personnel'!$C$4:$C$281,'F0 - Données générales'!$K$31,'F3 - Relevé du personnel'!$B$4:$B$281,"Petit groupe")</f>
        <v>0</v>
      </c>
      <c r="AQ145" s="181">
        <f>SUMIFS('F3 - Relevé du personnel'!$H$4:$H$281,'F3 - Relevé du personnel'!$D$4:$D$281,$AM145,'F3 - Relevé du personnel'!$C$4:$C$281,'F0 - Données générales'!$K$31,'F3 - Relevé du personnel'!$B$4:$B$281,"Petit groupe")</f>
        <v>0</v>
      </c>
      <c r="AR145" s="256">
        <f>SUMIFS('F3 - Relevé du personnel'!$I$4:$I$281,'F3 - Relevé du personnel'!$D$4:$D$281,$AM145,'F3 - Relevé du personnel'!$C$4:$C$281,'F0 - Données générales'!$K$31,'F3 - Relevé du personnel'!$B$4:$B$281,"Petit groupe")</f>
        <v>0</v>
      </c>
      <c r="AS145" s="256">
        <f>SUMIFS('F3 - Relevé du personnel'!$M$4:$M$281,'F3 - Relevé du personnel'!$D$4:$D$281,$AM145,'F3 - Relevé du personnel'!$C$4:$C$281,'F0 - Données générales'!$K$31,'F3 - Relevé du personnel'!$B$4:$B$281,"Petit groupe")</f>
        <v>0</v>
      </c>
      <c r="AT145" s="196">
        <f t="shared" si="98"/>
        <v>0</v>
      </c>
      <c r="AU145" s="256">
        <f>SUMIFS('F3 - Relevé du personnel'!$O$4:$O$281,'F3 - Relevé du personnel'!$D$4:$D$281,$AM145,'F3 - Relevé du personnel'!$C$4:$C$281,'F0 - Données générales'!$K$31,'F3 - Relevé du personnel'!$B$4:$B$281,"Petit groupe")</f>
        <v>0</v>
      </c>
      <c r="AV145" s="256">
        <f>SUMIFS('F3 - Relevé du personnel'!$P$4:$P$281,'F3 - Relevé du personnel'!$D$4:$D$281,$AM145,'F3 - Relevé du personnel'!$C$4:$C$281,'F0 - Données générales'!$K$31,'F3 - Relevé du personnel'!$B$4:$B$281,"Petit groupe")</f>
        <v>0</v>
      </c>
      <c r="AW145" s="256">
        <f>SUMIFS('F3 - Relevé du personnel'!$Q$4:$Q$281,'F3 - Relevé du personnel'!$D$4:$D$281,$AM145,'F3 - Relevé du personnel'!$C$4:$C$281,'F0 - Données générales'!$K$31,'F3 - Relevé du personnel'!$B$4:$B$281,"Petit groupe")</f>
        <v>0</v>
      </c>
      <c r="AX145" s="182">
        <f t="shared" si="101"/>
        <v>0</v>
      </c>
      <c r="AY145" s="197" t="str">
        <f t="shared" si="102"/>
        <v/>
      </c>
      <c r="AZ145" s="198" t="str">
        <f>IF(AP145=0,"",(SUMPRODUCT(($D$4:$D$253=AM145)*($C$4:$C$253='F0 - Données générales'!$K$31)*($E$4:$E$253)*($F$4:$F$253)*($B$4:$B$253="0-3 ans"))+SUMPRODUCT(($D$257:$D$281=AM145)*($C$257:$C$281='F0 - Données générales'!$K$31)*($B$257:$B$281="0-3 ans")*($E$257:$E$281)*($F$257:$F$281)))/(SUMIFS('F3 - Relevé du personnel'!$E$4:$E$281,'F3 - Relevé du personnel'!$D$4:$D$281,$AM145,'F3 - Relevé du personnel'!$C$4:$C$281,'F0 - Données générales'!$K$31,'F3 - Relevé du personnel'!$B$4:$B$281,"0-3 ans")))</f>
        <v/>
      </c>
      <c r="BB145" s="760" t="s">
        <v>64</v>
      </c>
      <c r="BC145" s="761"/>
      <c r="BD145" s="13" t="s">
        <v>97</v>
      </c>
      <c r="BE145" s="758"/>
      <c r="BF145" s="759"/>
      <c r="BG145" s="45">
        <f>SUMIFS('F3 - Relevé du personnel'!$E$4:$E$281,'F3 - Relevé du personnel'!$D$4:$D$281,$BD145,'F3 - Relevé du personnel'!$C$4:$C$281,'F0 - Données générales'!$K$34)</f>
        <v>0</v>
      </c>
      <c r="BH145" s="259">
        <f>SUMIFS('F3 - Relevé du personnel'!$I$4:$I$281,'F3 - Relevé du personnel'!$D$4:$D$281,$BD145,'F3 - Relevé du personnel'!$C$4:$C$281,'F0 - Données générales'!$K$34)</f>
        <v>0</v>
      </c>
      <c r="BI145" s="259">
        <f>SUMIFS('F3 - Relevé du personnel'!$M$4:$M$281,'F3 - Relevé du personnel'!$D$4:$D$281,$BD145,'F3 - Relevé du personnel'!$C$4:$C$281,'F0 - Données générales'!$K$34)</f>
        <v>0</v>
      </c>
      <c r="BJ145" s="189">
        <f t="shared" si="87"/>
        <v>0</v>
      </c>
      <c r="BK145" s="259">
        <f>SUMIFS('F3 - Relevé du personnel'!$O$4:$O$281,'F3 - Relevé du personnel'!$D$4:$D$281,$BD145,'F3 - Relevé du personnel'!$C$4:$C$281,'F0 - Données générales'!$K$34)</f>
        <v>0</v>
      </c>
      <c r="BL145" s="259">
        <f>SUMIFS('F3 - Relevé du personnel'!$P$4:$P$281,'F3 - Relevé du personnel'!$D$4:$D$281,$BD145,'F3 - Relevé du personnel'!$C$4:$C$281,'F0 - Données générales'!$K$34)</f>
        <v>0</v>
      </c>
      <c r="BM145" s="259">
        <f>SUMIFS('F3 - Relevé du personnel'!$Q$4:$Q$281,'F3 - Relevé du personnel'!$D$4:$D$281,$BD145,'F3 - Relevé du personnel'!$C$4:$C$281,'F0 - Données générales'!$K$34)</f>
        <v>0</v>
      </c>
      <c r="BN145" s="48">
        <f t="shared" si="99"/>
        <v>0</v>
      </c>
      <c r="BO145" s="187" t="str">
        <f t="shared" si="88"/>
        <v/>
      </c>
      <c r="BP145" s="188" t="str">
        <f>IF(BG145=0,"",(SUMPRODUCT(($D$4:$D$253=BD145)*($C$4:$C$253='F0 - Données générales'!$K$34)*($E$4:$E$253)*($F$4:$F$253))+SUMPRODUCT(($D$257:$D$281=BD145)*($C$257:$C$281='F0 - Données générales'!$K$34)*($E$257:$E$281)*($F$257:$F$281)))/(SUMIFS('F3 - Relevé du personnel'!$E$4:$E$281,'F3 - Relevé du personnel'!$D$4:$D$281,$BD145,'F3 - Relevé du personnel'!$C$4:$C$281,'F0 - Données générales'!$K$34)))</f>
        <v/>
      </c>
      <c r="BS145" s="14"/>
      <c r="BT145" s="14"/>
      <c r="BU145" s="14"/>
      <c r="BV145" s="14"/>
    </row>
    <row r="146" spans="1:74" ht="15" customHeight="1" x14ac:dyDescent="0.3">
      <c r="A146" s="106">
        <v>143</v>
      </c>
      <c r="B146" s="324">
        <f>'F0 - Données générales'!$C$4</f>
        <v>7</v>
      </c>
      <c r="C146" s="106" t="s">
        <v>95</v>
      </c>
      <c r="D146" s="106"/>
      <c r="E146" s="107"/>
      <c r="F146" s="108"/>
      <c r="G146" s="109"/>
      <c r="H146" s="110">
        <f t="shared" si="90"/>
        <v>0</v>
      </c>
      <c r="I146" s="177"/>
      <c r="J146" s="118" t="str">
        <f>IF(OR(D146="",F146=""),"",(((HLOOKUP(D146,'Carrières et points'!$A$20:$AD$60,F146+2,FALSE)*'Carrières et points'!$C$7*'Carrières et points'!$C$9)+(HLOOKUP(D146,'Carrières et points'!$A$20:$AD$60,F146+2,FALSE)*'Carrières et points'!$C$13*'Carrières et points'!$C$15))*(1+'F0 - Données générales'!$I$4)+((HLOOKUP(D146,'Carrières et points'!$A$20:$AD$60,F146+2,FALSE)*'Carrières et points'!$C$7*'Carrières et points'!$C$9)+(HLOOKUP(D146,'Carrières et points'!$A$20:$AD$60,F146+2,FALSE)*'Carrières et points'!$C$13*'Carrières et points'!$C$15))/12*(1+'F0 - Données générales'!$L$13))*E146)</f>
        <v/>
      </c>
      <c r="K146" s="118" t="str">
        <f t="shared" si="91"/>
        <v/>
      </c>
      <c r="L146" s="109"/>
      <c r="M146" s="177"/>
      <c r="N146" s="118" t="str">
        <f t="shared" si="92"/>
        <v/>
      </c>
      <c r="O146" s="177"/>
      <c r="P146" s="177"/>
      <c r="Q146" s="177"/>
      <c r="R146" s="255" t="str">
        <f t="shared" si="93"/>
        <v/>
      </c>
      <c r="S146" s="120"/>
      <c r="T146" s="742" t="s">
        <v>65</v>
      </c>
      <c r="U146" s="742"/>
      <c r="V146" s="26" t="s">
        <v>76</v>
      </c>
      <c r="W146" s="741" t="s">
        <v>77</v>
      </c>
      <c r="X146" s="741"/>
      <c r="Y146" s="181">
        <f>SUMIFS('F3 - Relevé du personnel'!$E$4:$E$281,'F3 - Relevé du personnel'!$D$4:$D$281,$V146,'F3 - Relevé du personnel'!$C$4:$C$281,'F0 - Données générales'!$K$31,'F3 - Relevé du personnel'!$B$4:$B$281,"9.1")</f>
        <v>0</v>
      </c>
      <c r="Z146" s="181">
        <f>SUMIFS('F3 - Relevé du personnel'!$H$4:$H$281,'F3 - Relevé du personnel'!$D$4:$D$281,$V146,'F3 - Relevé du personnel'!$C$4:$C$281,'F0 - Données générales'!$K$31,'F3 - Relevé du personnel'!$B$4:$B$281,"9.1")</f>
        <v>0</v>
      </c>
      <c r="AA146" s="256">
        <f>SUMIFS('F3 - Relevé du personnel'!$I$4:$I$281,'F3 - Relevé du personnel'!$D$4:$D$281,$V146,'F3 - Relevé du personnel'!$C$4:$C$281,'F0 - Données générales'!$K$31,'F3 - Relevé du personnel'!$B$4:$B$281,"9.1")</f>
        <v>0</v>
      </c>
      <c r="AB146" s="256">
        <f>SUMIFS('F3 - Relevé du personnel'!$M$4:$M$281,'F3 - Relevé du personnel'!$D$4:$D$281,$V146,'F3 - Relevé du personnel'!$C$4:$C$281,'F0 - Données générales'!$K$31,'F3 - Relevé du personnel'!$B$4:$B$281,"9.1")</f>
        <v>0</v>
      </c>
      <c r="AC146" s="196">
        <f t="shared" si="96"/>
        <v>0</v>
      </c>
      <c r="AD146" s="256">
        <f>SUMIFS('F3 - Relevé du personnel'!$O$4:$O$281,'F3 - Relevé du personnel'!$D$4:$D$281,$V146,'F3 - Relevé du personnel'!$C$4:$C$281,'F0 - Données générales'!$K$31,'F3 - Relevé du personnel'!$B$4:$B$281,"9.1")</f>
        <v>0</v>
      </c>
      <c r="AE146" s="256">
        <f>SUMIFS('F3 - Relevé du personnel'!$P$4:$P$281,'F3 - Relevé du personnel'!$D$4:$D$281,$V146,'F3 - Relevé du personnel'!$C$4:$C$281,'F0 - Données générales'!$K$31,'F3 - Relevé du personnel'!$B$4:$B$281,"9.1")</f>
        <v>0</v>
      </c>
      <c r="AF146" s="256">
        <f>SUMIFS('F3 - Relevé du personnel'!$Q$4:$Q$281,'F3 - Relevé du personnel'!$D$4:$D$281,$V146,'F3 - Relevé du personnel'!$C$4:$C$281,'F0 - Données générales'!$K$31,'F3 - Relevé du personnel'!$B$4:$B$281,"9.1")</f>
        <v>0</v>
      </c>
      <c r="AG146" s="182">
        <f t="shared" si="97"/>
        <v>0</v>
      </c>
      <c r="AH146" s="197" t="str">
        <f t="shared" si="100"/>
        <v/>
      </c>
      <c r="AI146" s="198" t="str">
        <f>IF(Y146=0,"",(SUMPRODUCT(($D$4:$D$253=V146)*($C$4:$C$253='F0 - Données générales'!$K$31)*($E$4:$E$253)*($F$4:$F$253)*($B$4:$B$253="9.1"))+SUMPRODUCT(($D$257:$D$281=V146)*($C$257:$C$281='F0 - Données générales'!$K$31)*($B$257:$B$281="9.1")*($E$257:$E$281)*($F$257:$F$281)))/(SUMIFS('F3 - Relevé du personnel'!$E$4:$E$281,'F3 - Relevé du personnel'!$D$4:$D$281,$V146,'F3 - Relevé du personnel'!$C$4:$C$281,'F0 - Données générales'!$K$31,'F3 - Relevé du personnel'!$B$4:$B$281,"9.1")))</f>
        <v/>
      </c>
      <c r="AK146" s="742" t="s">
        <v>65</v>
      </c>
      <c r="AL146" s="742"/>
      <c r="AM146" s="26" t="s">
        <v>76</v>
      </c>
      <c r="AN146" s="741" t="s">
        <v>77</v>
      </c>
      <c r="AO146" s="741"/>
      <c r="AP146" s="181">
        <f>SUMIFS('F3 - Relevé du personnel'!$E$4:$E$281,'F3 - Relevé du personnel'!$D$4:$D$281,$AM146,'F3 - Relevé du personnel'!$C$4:$C$281,'F0 - Données générales'!$K$31,'F3 - Relevé du personnel'!$B$4:$B$281,"Petit groupe")</f>
        <v>0</v>
      </c>
      <c r="AQ146" s="181">
        <f>SUMIFS('F3 - Relevé du personnel'!$H$4:$H$281,'F3 - Relevé du personnel'!$D$4:$D$281,$AM146,'F3 - Relevé du personnel'!$C$4:$C$281,'F0 - Données générales'!$K$31,'F3 - Relevé du personnel'!$B$4:$B$281,"Petit groupe")</f>
        <v>0</v>
      </c>
      <c r="AR146" s="256">
        <f>SUMIFS('F3 - Relevé du personnel'!$I$4:$I$281,'F3 - Relevé du personnel'!$D$4:$D$281,$AM146,'F3 - Relevé du personnel'!$C$4:$C$281,'F0 - Données générales'!$K$31,'F3 - Relevé du personnel'!$B$4:$B$281,"Petit groupe")</f>
        <v>0</v>
      </c>
      <c r="AS146" s="256">
        <f>SUMIFS('F3 - Relevé du personnel'!$M$4:$M$281,'F3 - Relevé du personnel'!$D$4:$D$281,$AM146,'F3 - Relevé du personnel'!$C$4:$C$281,'F0 - Données générales'!$K$31,'F3 - Relevé du personnel'!$B$4:$B$281,"Petit groupe")</f>
        <v>0</v>
      </c>
      <c r="AT146" s="196">
        <f t="shared" si="98"/>
        <v>0</v>
      </c>
      <c r="AU146" s="256">
        <f>SUMIFS('F3 - Relevé du personnel'!$O$4:$O$281,'F3 - Relevé du personnel'!$D$4:$D$281,$AM146,'F3 - Relevé du personnel'!$C$4:$C$281,'F0 - Données générales'!$K$31,'F3 - Relevé du personnel'!$B$4:$B$281,"Petit groupe")</f>
        <v>0</v>
      </c>
      <c r="AV146" s="256">
        <f>SUMIFS('F3 - Relevé du personnel'!$P$4:$P$281,'F3 - Relevé du personnel'!$D$4:$D$281,$AM146,'F3 - Relevé du personnel'!$C$4:$C$281,'F0 - Données générales'!$K$31,'F3 - Relevé du personnel'!$B$4:$B$281,"Petit groupe")</f>
        <v>0</v>
      </c>
      <c r="AW146" s="256">
        <f>SUMIFS('F3 - Relevé du personnel'!$Q$4:$Q$281,'F3 - Relevé du personnel'!$D$4:$D$281,$AM146,'F3 - Relevé du personnel'!$C$4:$C$281,'F0 - Données générales'!$K$31,'F3 - Relevé du personnel'!$B$4:$B$281,"Petit groupe")</f>
        <v>0</v>
      </c>
      <c r="AX146" s="182">
        <f t="shared" si="101"/>
        <v>0</v>
      </c>
      <c r="AY146" s="197" t="str">
        <f t="shared" si="102"/>
        <v/>
      </c>
      <c r="AZ146" s="198" t="str">
        <f>IF(AP146=0,"",(SUMPRODUCT(($D$4:$D$253=AM146)*($C$4:$C$253='F0 - Données générales'!$K$31)*($E$4:$E$253)*($F$4:$F$253)*($B$4:$B$253="0-3 ans"))+SUMPRODUCT(($D$257:$D$281=AM146)*($C$257:$C$281='F0 - Données générales'!$K$31)*($B$257:$B$281="0-3 ans")*($E$257:$E$281)*($F$257:$F$281)))/(SUMIFS('F3 - Relevé du personnel'!$E$4:$E$281,'F3 - Relevé du personnel'!$D$4:$D$281,$AM146,'F3 - Relevé du personnel'!$C$4:$C$281,'F0 - Données générales'!$K$31,'F3 - Relevé du personnel'!$B$4:$B$281,"0-3 ans")))</f>
        <v/>
      </c>
      <c r="BB146" s="760" t="s">
        <v>61</v>
      </c>
      <c r="BC146" s="761"/>
      <c r="BD146" s="13" t="s">
        <v>98</v>
      </c>
      <c r="BE146" s="758"/>
      <c r="BF146" s="759"/>
      <c r="BG146" s="45">
        <f>SUMIFS('F3 - Relevé du personnel'!$E$4:$E$281,'F3 - Relevé du personnel'!$D$4:$D$281,$BD146,'F3 - Relevé du personnel'!$C$4:$C$281,'F0 - Données générales'!$K$34)</f>
        <v>0</v>
      </c>
      <c r="BH146" s="259">
        <f>SUMIFS('F3 - Relevé du personnel'!$I$4:$I$281,'F3 - Relevé du personnel'!$D$4:$D$281,$BD146,'F3 - Relevé du personnel'!$C$4:$C$281,'F0 - Données générales'!$K$34)</f>
        <v>0</v>
      </c>
      <c r="BI146" s="259">
        <f>SUMIFS('F3 - Relevé du personnel'!$M$4:$M$281,'F3 - Relevé du personnel'!$D$4:$D$281,$BD146,'F3 - Relevé du personnel'!$C$4:$C$281,'F0 - Données générales'!$K$34)</f>
        <v>0</v>
      </c>
      <c r="BJ146" s="189">
        <f t="shared" si="87"/>
        <v>0</v>
      </c>
      <c r="BK146" s="259">
        <f>SUMIFS('F3 - Relevé du personnel'!$O$4:$O$281,'F3 - Relevé du personnel'!$D$4:$D$281,$BD146,'F3 - Relevé du personnel'!$C$4:$C$281,'F0 - Données générales'!$K$34)</f>
        <v>0</v>
      </c>
      <c r="BL146" s="259">
        <f>SUMIFS('F3 - Relevé du personnel'!$P$4:$P$281,'F3 - Relevé du personnel'!$D$4:$D$281,$BD146,'F3 - Relevé du personnel'!$C$4:$C$281,'F0 - Données générales'!$K$34)</f>
        <v>0</v>
      </c>
      <c r="BM146" s="259">
        <f>SUMIFS('F3 - Relevé du personnel'!$Q$4:$Q$281,'F3 - Relevé du personnel'!$D$4:$D$281,$BD146,'F3 - Relevé du personnel'!$C$4:$C$281,'F0 - Données générales'!$K$34)</f>
        <v>0</v>
      </c>
      <c r="BN146" s="48">
        <f t="shared" si="99"/>
        <v>0</v>
      </c>
      <c r="BO146" s="187" t="str">
        <f t="shared" si="88"/>
        <v/>
      </c>
      <c r="BP146" s="188" t="str">
        <f>IF(BG146=0,"",(SUMPRODUCT(($D$4:$D$253=BD146)*($C$4:$C$253='F0 - Données générales'!$K$34)*($E$4:$E$253)*($F$4:$F$253))+SUMPRODUCT(($D$257:$D$281=BD146)*($C$257:$C$281='F0 - Données générales'!$K$34)*($E$257:$E$281)*($F$257:$F$281)))/(SUMIFS('F3 - Relevé du personnel'!$E$4:$E$281,'F3 - Relevé du personnel'!$D$4:$D$281,$BD146,'F3 - Relevé du personnel'!$C$4:$C$281,'F0 - Données générales'!$K$34)))</f>
        <v/>
      </c>
      <c r="BS146" s="14"/>
      <c r="BT146" s="14"/>
      <c r="BU146" s="14"/>
      <c r="BV146" s="14"/>
    </row>
    <row r="147" spans="1:74" ht="15" customHeight="1" x14ac:dyDescent="0.3">
      <c r="A147" s="106">
        <v>144</v>
      </c>
      <c r="B147" s="324">
        <f>'F0 - Données générales'!$C$4</f>
        <v>7</v>
      </c>
      <c r="C147" s="106" t="s">
        <v>95</v>
      </c>
      <c r="D147" s="106"/>
      <c r="E147" s="107"/>
      <c r="F147" s="108"/>
      <c r="G147" s="109"/>
      <c r="H147" s="110">
        <f t="shared" si="90"/>
        <v>0</v>
      </c>
      <c r="I147" s="177"/>
      <c r="J147" s="118" t="str">
        <f>IF(OR(D147="",F147=""),"",(((HLOOKUP(D147,'Carrières et points'!$A$20:$AD$60,F147+2,FALSE)*'Carrières et points'!$C$7*'Carrières et points'!$C$9)+(HLOOKUP(D147,'Carrières et points'!$A$20:$AD$60,F147+2,FALSE)*'Carrières et points'!$C$13*'Carrières et points'!$C$15))*(1+'F0 - Données générales'!$I$4)+((HLOOKUP(D147,'Carrières et points'!$A$20:$AD$60,F147+2,FALSE)*'Carrières et points'!$C$7*'Carrières et points'!$C$9)+(HLOOKUP(D147,'Carrières et points'!$A$20:$AD$60,F147+2,FALSE)*'Carrières et points'!$C$13*'Carrières et points'!$C$15))/12*(1+'F0 - Données générales'!$L$13))*E147)</f>
        <v/>
      </c>
      <c r="K147" s="118" t="str">
        <f t="shared" si="91"/>
        <v/>
      </c>
      <c r="L147" s="109"/>
      <c r="M147" s="177"/>
      <c r="N147" s="118" t="str">
        <f t="shared" si="92"/>
        <v/>
      </c>
      <c r="O147" s="177"/>
      <c r="P147" s="177"/>
      <c r="Q147" s="177"/>
      <c r="R147" s="255" t="str">
        <f t="shared" si="93"/>
        <v/>
      </c>
      <c r="S147" s="120"/>
      <c r="T147" s="742" t="s">
        <v>65</v>
      </c>
      <c r="U147" s="742"/>
      <c r="V147" s="26" t="s">
        <v>252</v>
      </c>
      <c r="W147" s="741" t="s">
        <v>78</v>
      </c>
      <c r="X147" s="741"/>
      <c r="Y147" s="181">
        <f>SUMIFS('F3 - Relevé du personnel'!$E$4:$E$281,'F3 - Relevé du personnel'!$D$4:$D$281,$V147,'F3 - Relevé du personnel'!$C$4:$C$281,'F0 - Données générales'!$K$31,'F3 - Relevé du personnel'!$B$4:$B$281,"9.1")</f>
        <v>0</v>
      </c>
      <c r="Z147" s="181">
        <f>SUMIFS('F3 - Relevé du personnel'!$H$4:$H$281,'F3 - Relevé du personnel'!$D$4:$D$281,$V147,'F3 - Relevé du personnel'!$C$4:$C$281,'F0 - Données générales'!$K$31,'F3 - Relevé du personnel'!$B$4:$B$281,"9.1")</f>
        <v>0</v>
      </c>
      <c r="AA147" s="256">
        <f>SUMIFS('F3 - Relevé du personnel'!$I$4:$I$281,'F3 - Relevé du personnel'!$D$4:$D$281,$V147,'F3 - Relevé du personnel'!$C$4:$C$281,'F0 - Données générales'!$K$31,'F3 - Relevé du personnel'!$B$4:$B$281,"9.1")</f>
        <v>0</v>
      </c>
      <c r="AB147" s="256">
        <f>SUMIFS('F3 - Relevé du personnel'!$M$4:$M$281,'F3 - Relevé du personnel'!$D$4:$D$281,$V147,'F3 - Relevé du personnel'!$C$4:$C$281,'F0 - Données générales'!$K$31,'F3 - Relevé du personnel'!$B$4:$B$281,"9.1")</f>
        <v>0</v>
      </c>
      <c r="AC147" s="196">
        <f t="shared" si="96"/>
        <v>0</v>
      </c>
      <c r="AD147" s="256">
        <f>SUMIFS('F3 - Relevé du personnel'!$O$4:$O$281,'F3 - Relevé du personnel'!$D$4:$D$281,$V147,'F3 - Relevé du personnel'!$C$4:$C$281,'F0 - Données générales'!$K$31,'F3 - Relevé du personnel'!$B$4:$B$281,"9.1")</f>
        <v>0</v>
      </c>
      <c r="AE147" s="256">
        <f>SUMIFS('F3 - Relevé du personnel'!$P$4:$P$281,'F3 - Relevé du personnel'!$D$4:$D$281,$V147,'F3 - Relevé du personnel'!$C$4:$C$281,'F0 - Données générales'!$K$31,'F3 - Relevé du personnel'!$B$4:$B$281,"9.1")</f>
        <v>0</v>
      </c>
      <c r="AF147" s="256">
        <f>SUMIFS('F3 - Relevé du personnel'!$Q$4:$Q$281,'F3 - Relevé du personnel'!$D$4:$D$281,$V147,'F3 - Relevé du personnel'!$C$4:$C$281,'F0 - Données générales'!$K$31,'F3 - Relevé du personnel'!$B$4:$B$281,"9.1")</f>
        <v>0</v>
      </c>
      <c r="AG147" s="182">
        <f t="shared" si="97"/>
        <v>0</v>
      </c>
      <c r="AH147" s="197" t="str">
        <f t="shared" si="100"/>
        <v/>
      </c>
      <c r="AI147" s="198" t="str">
        <f>IF(Y147=0,"",(SUMPRODUCT(($D$4:$D$253=V147)*($C$4:$C$253='F0 - Données générales'!$K$31)*($E$4:$E$253)*($F$4:$F$253)*($B$4:$B$253="9.1"))+SUMPRODUCT(($D$257:$D$281=V147)*($C$257:$C$281='F0 - Données générales'!$K$31)*($B$257:$B$281="9.1")*($E$257:$E$281)*($F$257:$F$281)))/(SUMIFS('F3 - Relevé du personnel'!$E$4:$E$281,'F3 - Relevé du personnel'!$D$4:$D$281,$V147,'F3 - Relevé du personnel'!$C$4:$C$281,'F0 - Données générales'!$K$31,'F3 - Relevé du personnel'!$B$4:$B$281,"9.1")))</f>
        <v/>
      </c>
      <c r="AK147" s="742" t="s">
        <v>65</v>
      </c>
      <c r="AL147" s="742"/>
      <c r="AM147" s="26" t="s">
        <v>252</v>
      </c>
      <c r="AN147" s="741" t="s">
        <v>78</v>
      </c>
      <c r="AO147" s="741"/>
      <c r="AP147" s="181">
        <f>SUMIFS('F3 - Relevé du personnel'!$E$4:$E$281,'F3 - Relevé du personnel'!$D$4:$D$281,$AM147,'F3 - Relevé du personnel'!$C$4:$C$281,'F0 - Données générales'!$K$31,'F3 - Relevé du personnel'!$B$4:$B$281,"Petit groupe")</f>
        <v>0</v>
      </c>
      <c r="AQ147" s="181">
        <f>SUMIFS('F3 - Relevé du personnel'!$H$4:$H$281,'F3 - Relevé du personnel'!$D$4:$D$281,$AM147,'F3 - Relevé du personnel'!$C$4:$C$281,'F0 - Données générales'!$K$31,'F3 - Relevé du personnel'!$B$4:$B$281,"Petit groupe")</f>
        <v>0</v>
      </c>
      <c r="AR147" s="256">
        <f>SUMIFS('F3 - Relevé du personnel'!$I$4:$I$281,'F3 - Relevé du personnel'!$D$4:$D$281,$AM147,'F3 - Relevé du personnel'!$C$4:$C$281,'F0 - Données générales'!$K$31,'F3 - Relevé du personnel'!$B$4:$B$281,"Petit groupe")</f>
        <v>0</v>
      </c>
      <c r="AS147" s="256">
        <f>SUMIFS('F3 - Relevé du personnel'!$M$4:$M$281,'F3 - Relevé du personnel'!$D$4:$D$281,$AM147,'F3 - Relevé du personnel'!$C$4:$C$281,'F0 - Données générales'!$K$31,'F3 - Relevé du personnel'!$B$4:$B$281,"Petit groupe")</f>
        <v>0</v>
      </c>
      <c r="AT147" s="196">
        <f t="shared" si="98"/>
        <v>0</v>
      </c>
      <c r="AU147" s="256">
        <f>SUMIFS('F3 - Relevé du personnel'!$O$4:$O$281,'F3 - Relevé du personnel'!$D$4:$D$281,$AM147,'F3 - Relevé du personnel'!$C$4:$C$281,'F0 - Données générales'!$K$31,'F3 - Relevé du personnel'!$B$4:$B$281,"Petit groupe")</f>
        <v>0</v>
      </c>
      <c r="AV147" s="256">
        <f>SUMIFS('F3 - Relevé du personnel'!$P$4:$P$281,'F3 - Relevé du personnel'!$D$4:$D$281,$AM147,'F3 - Relevé du personnel'!$C$4:$C$281,'F0 - Données générales'!$K$31,'F3 - Relevé du personnel'!$B$4:$B$281,"Petit groupe")</f>
        <v>0</v>
      </c>
      <c r="AW147" s="256">
        <f>SUMIFS('F3 - Relevé du personnel'!$Q$4:$Q$281,'F3 - Relevé du personnel'!$D$4:$D$281,$AM147,'F3 - Relevé du personnel'!$C$4:$C$281,'F0 - Données générales'!$K$31,'F3 - Relevé du personnel'!$B$4:$B$281,"Petit groupe")</f>
        <v>0</v>
      </c>
      <c r="AX147" s="182">
        <f t="shared" si="101"/>
        <v>0</v>
      </c>
      <c r="AY147" s="197" t="str">
        <f t="shared" si="102"/>
        <v/>
      </c>
      <c r="AZ147" s="198" t="str">
        <f>IF(AP147=0,"",(SUMPRODUCT(($D$4:$D$253=AM147)*($C$4:$C$253='F0 - Données générales'!$K$31)*($E$4:$E$253)*($F$4:$F$253)*($B$4:$B$253="0-3 ans"))+SUMPRODUCT(($D$257:$D$281=AM147)*($C$257:$C$281='F0 - Données générales'!$K$31)*($B$257:$B$281="0-3 ans")*($E$257:$E$281)*($F$257:$F$281)))/(SUMIFS('F3 - Relevé du personnel'!$E$4:$E$281,'F3 - Relevé du personnel'!$D$4:$D$281,$AM147,'F3 - Relevé du personnel'!$C$4:$C$281,'F0 - Données générales'!$K$31,'F3 - Relevé du personnel'!$B$4:$B$281,"0-3 ans")))</f>
        <v/>
      </c>
      <c r="BB147" s="760" t="s">
        <v>61</v>
      </c>
      <c r="BC147" s="761"/>
      <c r="BD147" s="13" t="s">
        <v>319</v>
      </c>
      <c r="BE147" s="758"/>
      <c r="BF147" s="759"/>
      <c r="BG147" s="45">
        <f>SUMIFS('F3 - Relevé du personnel'!$E$4:$E$281,'F3 - Relevé du personnel'!$D$4:$D$281,$BD147,'F3 - Relevé du personnel'!$C$4:$C$281,'F0 - Données générales'!$K$34)</f>
        <v>0</v>
      </c>
      <c r="BH147" s="259">
        <f>SUMIFS('F3 - Relevé du personnel'!$I$4:$I$281,'F3 - Relevé du personnel'!$D$4:$D$281,$BD147,'F3 - Relevé du personnel'!$C$4:$C$281,'F0 - Données générales'!$K$34)</f>
        <v>0</v>
      </c>
      <c r="BI147" s="259">
        <f>SUMIFS('F3 - Relevé du personnel'!$M$4:$M$281,'F3 - Relevé du personnel'!$D$4:$D$281,$BD147,'F3 - Relevé du personnel'!$C$4:$C$281,'F0 - Données générales'!$K$34)</f>
        <v>0</v>
      </c>
      <c r="BJ147" s="189">
        <f t="shared" si="87"/>
        <v>0</v>
      </c>
      <c r="BK147" s="259">
        <f>SUMIFS('F3 - Relevé du personnel'!$O$4:$O$281,'F3 - Relevé du personnel'!$D$4:$D$281,$BD147,'F3 - Relevé du personnel'!$C$4:$C$281,'F0 - Données générales'!$K$34)</f>
        <v>0</v>
      </c>
      <c r="BL147" s="259">
        <f>SUMIFS('F3 - Relevé du personnel'!$P$4:$P$281,'F3 - Relevé du personnel'!$D$4:$D$281,$BD147,'F3 - Relevé du personnel'!$C$4:$C$281,'F0 - Données générales'!$K$34)</f>
        <v>0</v>
      </c>
      <c r="BM147" s="259">
        <f>SUMIFS('F3 - Relevé du personnel'!$Q$4:$Q$281,'F3 - Relevé du personnel'!$D$4:$D$281,$BD147,'F3 - Relevé du personnel'!$C$4:$C$281,'F0 - Données générales'!$K$34)</f>
        <v>0</v>
      </c>
      <c r="BN147" s="48">
        <f t="shared" si="99"/>
        <v>0</v>
      </c>
      <c r="BO147" s="187" t="str">
        <f t="shared" si="88"/>
        <v/>
      </c>
      <c r="BP147" s="188" t="str">
        <f>IF(BG147=0,"",(SUMPRODUCT(($D$4:$D$253=BD147)*($C$4:$C$253='F0 - Données générales'!$K$34)*($E$4:$E$253)*($F$4:$F$253))+SUMPRODUCT(($D$257:$D$281=BD147)*($C$257:$C$281='F0 - Données générales'!$K$34)*($E$257:$E$281)*($F$257:$F$281)))/(SUMIFS('F3 - Relevé du personnel'!$E$4:$E$281,'F3 - Relevé du personnel'!$D$4:$D$281,$BD147,'F3 - Relevé du personnel'!$C$4:$C$281,'F0 - Données générales'!$K$34)))</f>
        <v/>
      </c>
      <c r="BS147" s="14"/>
      <c r="BT147" s="14"/>
      <c r="BU147" s="14"/>
      <c r="BV147" s="132"/>
    </row>
    <row r="148" spans="1:74" ht="15" customHeight="1" x14ac:dyDescent="0.3">
      <c r="A148" s="106">
        <v>145</v>
      </c>
      <c r="B148" s="324">
        <f>'F0 - Données générales'!$C$4</f>
        <v>7</v>
      </c>
      <c r="C148" s="106" t="s">
        <v>95</v>
      </c>
      <c r="D148" s="106"/>
      <c r="E148" s="107"/>
      <c r="F148" s="108"/>
      <c r="G148" s="109"/>
      <c r="H148" s="110">
        <f t="shared" si="90"/>
        <v>0</v>
      </c>
      <c r="I148" s="177"/>
      <c r="J148" s="118" t="str">
        <f>IF(OR(D148="",F148=""),"",(((HLOOKUP(D148,'Carrières et points'!$A$20:$AD$60,F148+2,FALSE)*'Carrières et points'!$C$7*'Carrières et points'!$C$9)+(HLOOKUP(D148,'Carrières et points'!$A$20:$AD$60,F148+2,FALSE)*'Carrières et points'!$C$13*'Carrières et points'!$C$15))*(1+'F0 - Données générales'!$I$4)+((HLOOKUP(D148,'Carrières et points'!$A$20:$AD$60,F148+2,FALSE)*'Carrières et points'!$C$7*'Carrières et points'!$C$9)+(HLOOKUP(D148,'Carrières et points'!$A$20:$AD$60,F148+2,FALSE)*'Carrières et points'!$C$13*'Carrières et points'!$C$15))/12*(1+'F0 - Données générales'!$L$13))*E148)</f>
        <v/>
      </c>
      <c r="K148" s="118" t="str">
        <f t="shared" si="91"/>
        <v/>
      </c>
      <c r="L148" s="109"/>
      <c r="M148" s="177"/>
      <c r="N148" s="118" t="str">
        <f t="shared" si="92"/>
        <v/>
      </c>
      <c r="O148" s="177"/>
      <c r="P148" s="177"/>
      <c r="Q148" s="177"/>
      <c r="R148" s="255" t="str">
        <f t="shared" si="93"/>
        <v/>
      </c>
      <c r="S148" s="120"/>
      <c r="T148" s="742" t="s">
        <v>79</v>
      </c>
      <c r="U148" s="742"/>
      <c r="V148" s="26" t="s">
        <v>253</v>
      </c>
      <c r="W148" s="741" t="s">
        <v>78</v>
      </c>
      <c r="X148" s="741"/>
      <c r="Y148" s="181">
        <f>SUMIFS('F3 - Relevé du personnel'!$E$4:$E$281,'F3 - Relevé du personnel'!$D$4:$D$281,$V148,'F3 - Relevé du personnel'!$C$4:$C$281,'F0 - Données générales'!$K$31,'F3 - Relevé du personnel'!$B$4:$B$281,"9.1")</f>
        <v>0</v>
      </c>
      <c r="Z148" s="181">
        <f>SUMIFS('F3 - Relevé du personnel'!$H$4:$H$281,'F3 - Relevé du personnel'!$D$4:$D$281,$V148,'F3 - Relevé du personnel'!$C$4:$C$281,'F0 - Données générales'!$K$31,'F3 - Relevé du personnel'!$B$4:$B$281,"9.1")</f>
        <v>0</v>
      </c>
      <c r="AA148" s="256">
        <f>SUMIFS('F3 - Relevé du personnel'!$I$4:$I$281,'F3 - Relevé du personnel'!$D$4:$D$281,$V148,'F3 - Relevé du personnel'!$C$4:$C$281,'F0 - Données générales'!$K$31,'F3 - Relevé du personnel'!$B$4:$B$281,"9.1")</f>
        <v>0</v>
      </c>
      <c r="AB148" s="256">
        <f>SUMIFS('F3 - Relevé du personnel'!$M$4:$M$281,'F3 - Relevé du personnel'!$D$4:$D$281,$V148,'F3 - Relevé du personnel'!$C$4:$C$281,'F0 - Données générales'!$K$31,'F3 - Relevé du personnel'!$B$4:$B$281,"9.1")</f>
        <v>0</v>
      </c>
      <c r="AC148" s="196">
        <f t="shared" si="96"/>
        <v>0</v>
      </c>
      <c r="AD148" s="256">
        <f>SUMIFS('F3 - Relevé du personnel'!$O$4:$O$281,'F3 - Relevé du personnel'!$D$4:$D$281,$V148,'F3 - Relevé du personnel'!$C$4:$C$281,'F0 - Données générales'!$K$31,'F3 - Relevé du personnel'!$B$4:$B$281,"9.1")</f>
        <v>0</v>
      </c>
      <c r="AE148" s="256">
        <f>SUMIFS('F3 - Relevé du personnel'!$P$4:$P$281,'F3 - Relevé du personnel'!$D$4:$D$281,$V148,'F3 - Relevé du personnel'!$C$4:$C$281,'F0 - Données générales'!$K$31,'F3 - Relevé du personnel'!$B$4:$B$281,"9.1")</f>
        <v>0</v>
      </c>
      <c r="AF148" s="256">
        <f>SUMIFS('F3 - Relevé du personnel'!$Q$4:$Q$281,'F3 - Relevé du personnel'!$D$4:$D$281,$V148,'F3 - Relevé du personnel'!$C$4:$C$281,'F0 - Données générales'!$K$31,'F3 - Relevé du personnel'!$B$4:$B$281,"9.1")</f>
        <v>0</v>
      </c>
      <c r="AG148" s="182">
        <f t="shared" si="97"/>
        <v>0</v>
      </c>
      <c r="AH148" s="197" t="str">
        <f t="shared" si="100"/>
        <v/>
      </c>
      <c r="AI148" s="198" t="str">
        <f>IF(Y148=0,"",(SUMPRODUCT(($D$4:$D$253=V148)*($C$4:$C$253='F0 - Données générales'!$K$31)*($E$4:$E$253)*($F$4:$F$253)*($B$4:$B$253="9.1"))+SUMPRODUCT(($D$257:$D$281=V148)*($C$257:$C$281='F0 - Données générales'!$K$31)*($B$257:$B$281="9.1")*($E$257:$E$281)*($F$257:$F$281)))/(SUMIFS('F3 - Relevé du personnel'!$E$4:$E$281,'F3 - Relevé du personnel'!$D$4:$D$281,$V148,'F3 - Relevé du personnel'!$C$4:$C$281,'F0 - Données générales'!$K$31,'F3 - Relevé du personnel'!$B$4:$B$281,"9.1")))</f>
        <v/>
      </c>
      <c r="AK148" s="742" t="s">
        <v>79</v>
      </c>
      <c r="AL148" s="742"/>
      <c r="AM148" s="26" t="s">
        <v>253</v>
      </c>
      <c r="AN148" s="741" t="s">
        <v>78</v>
      </c>
      <c r="AO148" s="741"/>
      <c r="AP148" s="181">
        <f>SUMIFS('F3 - Relevé du personnel'!$E$4:$E$281,'F3 - Relevé du personnel'!$D$4:$D$281,$AM148,'F3 - Relevé du personnel'!$C$4:$C$281,'F0 - Données générales'!$K$31,'F3 - Relevé du personnel'!$B$4:$B$281,"Petit groupe")</f>
        <v>0</v>
      </c>
      <c r="AQ148" s="181">
        <f>SUMIFS('F3 - Relevé du personnel'!$H$4:$H$281,'F3 - Relevé du personnel'!$D$4:$D$281,$AM148,'F3 - Relevé du personnel'!$C$4:$C$281,'F0 - Données générales'!$K$31,'F3 - Relevé du personnel'!$B$4:$B$281,"Petit groupe")</f>
        <v>0</v>
      </c>
      <c r="AR148" s="256">
        <f>SUMIFS('F3 - Relevé du personnel'!$I$4:$I$281,'F3 - Relevé du personnel'!$D$4:$D$281,$AM148,'F3 - Relevé du personnel'!$C$4:$C$281,'F0 - Données générales'!$K$31,'F3 - Relevé du personnel'!$B$4:$B$281,"Petit groupe")</f>
        <v>0</v>
      </c>
      <c r="AS148" s="256">
        <f>SUMIFS('F3 - Relevé du personnel'!$M$4:$M$281,'F3 - Relevé du personnel'!$D$4:$D$281,$AM148,'F3 - Relevé du personnel'!$C$4:$C$281,'F0 - Données générales'!$K$31,'F3 - Relevé du personnel'!$B$4:$B$281,"Petit groupe")</f>
        <v>0</v>
      </c>
      <c r="AT148" s="196">
        <f t="shared" si="98"/>
        <v>0</v>
      </c>
      <c r="AU148" s="256">
        <f>SUMIFS('F3 - Relevé du personnel'!$O$4:$O$281,'F3 - Relevé du personnel'!$D$4:$D$281,$AM148,'F3 - Relevé du personnel'!$C$4:$C$281,'F0 - Données générales'!$K$31,'F3 - Relevé du personnel'!$B$4:$B$281,"Petit groupe")</f>
        <v>0</v>
      </c>
      <c r="AV148" s="256">
        <f>SUMIFS('F3 - Relevé du personnel'!$P$4:$P$281,'F3 - Relevé du personnel'!$D$4:$D$281,$AM148,'F3 - Relevé du personnel'!$C$4:$C$281,'F0 - Données générales'!$K$31,'F3 - Relevé du personnel'!$B$4:$B$281,"Petit groupe")</f>
        <v>0</v>
      </c>
      <c r="AW148" s="256">
        <f>SUMIFS('F3 - Relevé du personnel'!$Q$4:$Q$281,'F3 - Relevé du personnel'!$D$4:$D$281,$AM148,'F3 - Relevé du personnel'!$C$4:$C$281,'F0 - Données générales'!$K$31,'F3 - Relevé du personnel'!$B$4:$B$281,"Petit groupe")</f>
        <v>0</v>
      </c>
      <c r="AX148" s="182">
        <f t="shared" si="101"/>
        <v>0</v>
      </c>
      <c r="AY148" s="197" t="str">
        <f t="shared" si="102"/>
        <v/>
      </c>
      <c r="AZ148" s="198" t="str">
        <f>IF(AP148=0,"",(SUMPRODUCT(($D$4:$D$253=AM148)*($C$4:$C$253='F0 - Données générales'!$K$31)*($E$4:$E$253)*($F$4:$F$253)*($B$4:$B$253="0-3 ans"))+SUMPRODUCT(($D$257:$D$281=AM148)*($C$257:$C$281='F0 - Données générales'!$K$31)*($B$257:$B$281="0-3 ans")*($E$257:$E$281)*($F$257:$F$281)))/(SUMIFS('F3 - Relevé du personnel'!$E$4:$E$281,'F3 - Relevé du personnel'!$D$4:$D$281,$AM148,'F3 - Relevé du personnel'!$C$4:$C$281,'F0 - Données générales'!$K$31,'F3 - Relevé du personnel'!$B$4:$B$281,"0-3 ans")))</f>
        <v/>
      </c>
      <c r="BB148" s="760" t="s">
        <v>61</v>
      </c>
      <c r="BC148" s="761"/>
      <c r="BD148" s="13" t="s">
        <v>99</v>
      </c>
      <c r="BE148" s="758"/>
      <c r="BF148" s="759"/>
      <c r="BG148" s="45">
        <f>SUMIFS('F3 - Relevé du personnel'!$E$4:$E$281,'F3 - Relevé du personnel'!$D$4:$D$281,$BD148,'F3 - Relevé du personnel'!$C$4:$C$281,'F0 - Données générales'!$K$34)</f>
        <v>0</v>
      </c>
      <c r="BH148" s="259">
        <f>SUMIFS('F3 - Relevé du personnel'!$I$4:$I$281,'F3 - Relevé du personnel'!$D$4:$D$281,$BD148,'F3 - Relevé du personnel'!$C$4:$C$281,'F0 - Données générales'!$K$34)</f>
        <v>0</v>
      </c>
      <c r="BI148" s="259">
        <f>SUMIFS('F3 - Relevé du personnel'!$M$4:$M$281,'F3 - Relevé du personnel'!$D$4:$D$281,$BD148,'F3 - Relevé du personnel'!$C$4:$C$281,'F0 - Données générales'!$K$34)</f>
        <v>0</v>
      </c>
      <c r="BJ148" s="189">
        <f t="shared" si="87"/>
        <v>0</v>
      </c>
      <c r="BK148" s="259">
        <f>SUMIFS('F3 - Relevé du personnel'!$O$4:$O$281,'F3 - Relevé du personnel'!$D$4:$D$281,$BD148,'F3 - Relevé du personnel'!$C$4:$C$281,'F0 - Données générales'!$K$34)</f>
        <v>0</v>
      </c>
      <c r="BL148" s="259">
        <f>SUMIFS('F3 - Relevé du personnel'!$P$4:$P$281,'F3 - Relevé du personnel'!$D$4:$D$281,$BD148,'F3 - Relevé du personnel'!$C$4:$C$281,'F0 - Données générales'!$K$34)</f>
        <v>0</v>
      </c>
      <c r="BM148" s="259">
        <f>SUMIFS('F3 - Relevé du personnel'!$Q$4:$Q$281,'F3 - Relevé du personnel'!$D$4:$D$281,$BD148,'F3 - Relevé du personnel'!$C$4:$C$281,'F0 - Données générales'!$K$34)</f>
        <v>0</v>
      </c>
      <c r="BN148" s="48">
        <f t="shared" si="99"/>
        <v>0</v>
      </c>
      <c r="BO148" s="187" t="str">
        <f t="shared" si="88"/>
        <v/>
      </c>
      <c r="BP148" s="188" t="str">
        <f>IF(BG148=0,"",(SUMPRODUCT(($D$4:$D$253=BD148)*($C$4:$C$253='F0 - Données générales'!$K$34)*($E$4:$E$253)*($F$4:$F$253))+SUMPRODUCT(($D$257:$D$281=BD148)*($C$257:$C$281='F0 - Données générales'!$K$34)*($E$257:$E$281)*($F$257:$F$281)))/(SUMIFS('F3 - Relevé du personnel'!$E$4:$E$281,'F3 - Relevé du personnel'!$D$4:$D$281,$BD148,'F3 - Relevé du personnel'!$C$4:$C$281,'F0 - Données générales'!$K$34)))</f>
        <v/>
      </c>
      <c r="BS148" s="14"/>
      <c r="BT148" s="14"/>
      <c r="BU148" s="14"/>
      <c r="BV148" s="14"/>
    </row>
    <row r="149" spans="1:74" ht="15" customHeight="1" x14ac:dyDescent="0.3">
      <c r="A149" s="106">
        <v>146</v>
      </c>
      <c r="B149" s="324">
        <f>'F0 - Données générales'!$C$4</f>
        <v>7</v>
      </c>
      <c r="C149" s="106" t="s">
        <v>95</v>
      </c>
      <c r="D149" s="106"/>
      <c r="E149" s="107"/>
      <c r="F149" s="108"/>
      <c r="G149" s="109"/>
      <c r="H149" s="110">
        <f t="shared" si="90"/>
        <v>0</v>
      </c>
      <c r="I149" s="177"/>
      <c r="J149" s="118" t="str">
        <f>IF(OR(D149="",F149=""),"",(((HLOOKUP(D149,'Carrières et points'!$A$20:$AD$60,F149+2,FALSE)*'Carrières et points'!$C$7*'Carrières et points'!$C$9)+(HLOOKUP(D149,'Carrières et points'!$A$20:$AD$60,F149+2,FALSE)*'Carrières et points'!$C$13*'Carrières et points'!$C$15))*(1+'F0 - Données générales'!$I$4)+((HLOOKUP(D149,'Carrières et points'!$A$20:$AD$60,F149+2,FALSE)*'Carrières et points'!$C$7*'Carrières et points'!$C$9)+(HLOOKUP(D149,'Carrières et points'!$A$20:$AD$60,F149+2,FALSE)*'Carrières et points'!$C$13*'Carrières et points'!$C$15))/12*(1+'F0 - Données générales'!$L$13))*E149)</f>
        <v/>
      </c>
      <c r="K149" s="118" t="str">
        <f t="shared" si="91"/>
        <v/>
      </c>
      <c r="L149" s="109"/>
      <c r="M149" s="177"/>
      <c r="N149" s="118" t="str">
        <f t="shared" si="92"/>
        <v/>
      </c>
      <c r="O149" s="177"/>
      <c r="P149" s="177"/>
      <c r="Q149" s="177"/>
      <c r="R149" s="255" t="str">
        <f t="shared" si="93"/>
        <v/>
      </c>
      <c r="S149" s="120"/>
      <c r="T149" s="743"/>
      <c r="U149" s="743"/>
      <c r="V149" s="749" t="s">
        <v>165</v>
      </c>
      <c r="W149" s="749"/>
      <c r="X149" s="749"/>
      <c r="Y149" s="199">
        <f>SUM(Y140:Y148)</f>
        <v>0</v>
      </c>
      <c r="Z149" s="199">
        <f>SUM(Z140:Z148)</f>
        <v>0</v>
      </c>
      <c r="AA149" s="200">
        <f>SUM(AA140:AA148)</f>
        <v>0</v>
      </c>
      <c r="AB149" s="200">
        <f>SUM(AB140:AB148)</f>
        <v>0</v>
      </c>
      <c r="AC149" s="200">
        <f t="shared" si="96"/>
        <v>0</v>
      </c>
      <c r="AD149" s="200">
        <f>SUM(AD140:AD148)</f>
        <v>0</v>
      </c>
      <c r="AE149" s="200">
        <f>SUM(AE140:AE148)</f>
        <v>0</v>
      </c>
      <c r="AF149" s="200">
        <f>SUM(AF140:AF148)</f>
        <v>0</v>
      </c>
      <c r="AG149" s="201">
        <f t="shared" si="97"/>
        <v>0</v>
      </c>
      <c r="AH149" s="201" t="str">
        <f t="shared" si="100"/>
        <v/>
      </c>
      <c r="AI149" s="202"/>
      <c r="AK149" s="743"/>
      <c r="AL149" s="743"/>
      <c r="AM149" s="749" t="s">
        <v>165</v>
      </c>
      <c r="AN149" s="749"/>
      <c r="AO149" s="749"/>
      <c r="AP149" s="199">
        <f>SUM(AP140:AP148)</f>
        <v>0</v>
      </c>
      <c r="AQ149" s="199">
        <f>SUM(AQ140:AQ148)</f>
        <v>0</v>
      </c>
      <c r="AR149" s="200">
        <f>SUM(AR140:AR148)</f>
        <v>0</v>
      </c>
      <c r="AS149" s="200">
        <f>SUM(AS140:AS148)</f>
        <v>0</v>
      </c>
      <c r="AT149" s="200">
        <f t="shared" si="98"/>
        <v>0</v>
      </c>
      <c r="AU149" s="200">
        <f>SUM(AU140:AU148)</f>
        <v>0</v>
      </c>
      <c r="AV149" s="200">
        <f>SUM(AV140:AV148)</f>
        <v>0</v>
      </c>
      <c r="AW149" s="200">
        <f>SUM(AW140:AW148)</f>
        <v>0</v>
      </c>
      <c r="AX149" s="201">
        <f>AR149+AS149-SUM(AU149:AW149)</f>
        <v>0</v>
      </c>
      <c r="AY149" s="201" t="str">
        <f t="shared" si="102"/>
        <v/>
      </c>
      <c r="AZ149" s="202"/>
      <c r="BB149" s="760" t="s">
        <v>61</v>
      </c>
      <c r="BC149" s="761"/>
      <c r="BD149" s="13" t="s">
        <v>100</v>
      </c>
      <c r="BE149" s="758"/>
      <c r="BF149" s="759"/>
      <c r="BG149" s="45">
        <f>SUMIFS('F3 - Relevé du personnel'!$E$4:$E$281,'F3 - Relevé du personnel'!$D$4:$D$281,$BD149,'F3 - Relevé du personnel'!$C$4:$C$281,'F0 - Données générales'!$K$34)</f>
        <v>0</v>
      </c>
      <c r="BH149" s="259">
        <f>SUMIFS('F3 - Relevé du personnel'!$I$4:$I$281,'F3 - Relevé du personnel'!$D$4:$D$281,$BD149,'F3 - Relevé du personnel'!$C$4:$C$281,'F0 - Données générales'!$K$34)</f>
        <v>0</v>
      </c>
      <c r="BI149" s="259">
        <f>SUMIFS('F3 - Relevé du personnel'!$M$4:$M$281,'F3 - Relevé du personnel'!$D$4:$D$281,$BD149,'F3 - Relevé du personnel'!$C$4:$C$281,'F0 - Données générales'!$K$34)</f>
        <v>0</v>
      </c>
      <c r="BJ149" s="189">
        <f t="shared" si="87"/>
        <v>0</v>
      </c>
      <c r="BK149" s="259">
        <f>SUMIFS('F3 - Relevé du personnel'!$O$4:$O$281,'F3 - Relevé du personnel'!$D$4:$D$281,$BD149,'F3 - Relevé du personnel'!$C$4:$C$281,'F0 - Données générales'!$K$34)</f>
        <v>0</v>
      </c>
      <c r="BL149" s="259">
        <f>SUMIFS('F3 - Relevé du personnel'!$P$4:$P$281,'F3 - Relevé du personnel'!$D$4:$D$281,$BD149,'F3 - Relevé du personnel'!$C$4:$C$281,'F0 - Données générales'!$K$34)</f>
        <v>0</v>
      </c>
      <c r="BM149" s="259">
        <f>SUMIFS('F3 - Relevé du personnel'!$Q$4:$Q$281,'F3 - Relevé du personnel'!$D$4:$D$281,$BD149,'F3 - Relevé du personnel'!$C$4:$C$281,'F0 - Données générales'!$K$34)</f>
        <v>0</v>
      </c>
      <c r="BN149" s="48">
        <f t="shared" si="99"/>
        <v>0</v>
      </c>
      <c r="BO149" s="187" t="str">
        <f t="shared" si="88"/>
        <v/>
      </c>
      <c r="BP149" s="188" t="str">
        <f>IF(BG149=0,"",(SUMPRODUCT(($D$4:$D$253=BD149)*($C$4:$C$253='F0 - Données générales'!$K$34)*($E$4:$E$253)*($F$4:$F$253))+SUMPRODUCT(($D$257:$D$281=BD149)*($C$257:$C$281='F0 - Données générales'!$K$34)*($E$257:$E$281)*($F$257:$F$281)))/(SUMIFS('F3 - Relevé du personnel'!$E$4:$E$281,'F3 - Relevé du personnel'!$D$4:$D$281,$BD149,'F3 - Relevé du personnel'!$C$4:$C$281,'F0 - Données générales'!$K$34)))</f>
        <v/>
      </c>
      <c r="BS149" s="14"/>
      <c r="BT149" s="14"/>
      <c r="BU149" s="14"/>
      <c r="BV149" s="132"/>
    </row>
    <row r="150" spans="1:74" ht="15" customHeight="1" x14ac:dyDescent="0.3">
      <c r="A150" s="106">
        <v>147</v>
      </c>
      <c r="B150" s="324">
        <f>'F0 - Données générales'!$C$4</f>
        <v>7</v>
      </c>
      <c r="C150" s="106" t="s">
        <v>95</v>
      </c>
      <c r="D150" s="106"/>
      <c r="E150" s="107"/>
      <c r="F150" s="108"/>
      <c r="G150" s="109"/>
      <c r="H150" s="110">
        <f t="shared" si="90"/>
        <v>0</v>
      </c>
      <c r="I150" s="177"/>
      <c r="J150" s="118" t="str">
        <f>IF(OR(D150="",F150=""),"",(((HLOOKUP(D150,'Carrières et points'!$A$20:$AD$60,F150+2,FALSE)*'Carrières et points'!$C$7*'Carrières et points'!$C$9)+(HLOOKUP(D150,'Carrières et points'!$A$20:$AD$60,F150+2,FALSE)*'Carrières et points'!$C$13*'Carrières et points'!$C$15))*(1+'F0 - Données générales'!$I$4)+((HLOOKUP(D150,'Carrières et points'!$A$20:$AD$60,F150+2,FALSE)*'Carrières et points'!$C$7*'Carrières et points'!$C$9)+(HLOOKUP(D150,'Carrières et points'!$A$20:$AD$60,F150+2,FALSE)*'Carrières et points'!$C$13*'Carrières et points'!$C$15))/12*(1+'F0 - Données générales'!$L$13))*E150)</f>
        <v/>
      </c>
      <c r="K150" s="118" t="str">
        <f t="shared" si="91"/>
        <v/>
      </c>
      <c r="L150" s="109"/>
      <c r="M150" s="177"/>
      <c r="N150" s="118" t="str">
        <f t="shared" si="92"/>
        <v/>
      </c>
      <c r="O150" s="177"/>
      <c r="P150" s="177"/>
      <c r="Q150" s="177"/>
      <c r="R150" s="255" t="str">
        <f t="shared" si="93"/>
        <v/>
      </c>
      <c r="S150" s="120"/>
      <c r="T150" s="742" t="s">
        <v>61</v>
      </c>
      <c r="U150" s="742"/>
      <c r="V150" s="26" t="s">
        <v>80</v>
      </c>
      <c r="W150" s="741" t="s">
        <v>81</v>
      </c>
      <c r="X150" s="741"/>
      <c r="Y150" s="181">
        <f>SUMIFS('F3 - Relevé du personnel'!$E$4:$E$281,'F3 - Relevé du personnel'!$D$4:$D$281,$V150,'F3 - Relevé du personnel'!$C$4:$C$281,'F0 - Données générales'!$K$31,'F3 - Relevé du personnel'!$B$4:$B$281,"9.1")</f>
        <v>0</v>
      </c>
      <c r="Z150" s="181">
        <f>SUMIFS('F3 - Relevé du personnel'!$H$4:$H$281,'F3 - Relevé du personnel'!$D$4:$D$281,$V150,'F3 - Relevé du personnel'!$C$4:$C$281,'F0 - Données générales'!$K$31,'F3 - Relevé du personnel'!$B$4:$B$281,"9.1")</f>
        <v>0</v>
      </c>
      <c r="AA150" s="256">
        <f>SUMIFS('F3 - Relevé du personnel'!$I$4:$I$281,'F3 - Relevé du personnel'!$D$4:$D$281,$V150,'F3 - Relevé du personnel'!$C$4:$C$281,'F0 - Données générales'!$K$31,'F3 - Relevé du personnel'!$B$4:$B$281,"9.1")</f>
        <v>0</v>
      </c>
      <c r="AB150" s="256">
        <f>SUMIFS('F3 - Relevé du personnel'!$M$4:$M$281,'F3 - Relevé du personnel'!$D$4:$D$281,$V150,'F3 - Relevé du personnel'!$C$4:$C$281,'F0 - Données générales'!$K$31,'F3 - Relevé du personnel'!$B$4:$B$281,"9.1")</f>
        <v>0</v>
      </c>
      <c r="AC150" s="196">
        <f t="shared" si="96"/>
        <v>0</v>
      </c>
      <c r="AD150" s="256">
        <f>SUMIFS('F3 - Relevé du personnel'!$O$4:$O$281,'F3 - Relevé du personnel'!$D$4:$D$281,$V150,'F3 - Relevé du personnel'!$C$4:$C$281,'F0 - Données générales'!$K$31,'F3 - Relevé du personnel'!$B$4:$B$281,"9.1")</f>
        <v>0</v>
      </c>
      <c r="AE150" s="256">
        <f>SUMIFS('F3 - Relevé du personnel'!$P$4:$P$281,'F3 - Relevé du personnel'!$D$4:$D$281,$V150,'F3 - Relevé du personnel'!$C$4:$C$281,'F0 - Données générales'!$K$31,'F3 - Relevé du personnel'!$B$4:$B$281,"9.1")</f>
        <v>0</v>
      </c>
      <c r="AF150" s="256">
        <f>SUMIFS('F3 - Relevé du personnel'!$Q$4:$Q$281,'F3 - Relevé du personnel'!$D$4:$D$281,$V150,'F3 - Relevé du personnel'!$C$4:$C$281,'F0 - Données générales'!$K$31,'F3 - Relevé du personnel'!$B$4:$B$281,"9.1")</f>
        <v>0</v>
      </c>
      <c r="AG150" s="182">
        <f t="shared" si="97"/>
        <v>0</v>
      </c>
      <c r="AH150" s="197" t="str">
        <f t="shared" si="100"/>
        <v/>
      </c>
      <c r="AI150" s="198" t="str">
        <f>IF(Y150=0,"",(SUMPRODUCT(($D$4:$D$253=V150)*($C$4:$C$253='F0 - Données générales'!$K$31)*($E$4:$E$253)*($F$4:$F$253)*($B$4:$B$253="9.1"))+SUMPRODUCT(($D$257:$D$281=V150)*($C$257:$C$281='F0 - Données générales'!$K$31)*($B$257:$B$281="9.1")*($E$257:$E$281)*($F$257:$F$281)))/(SUMIFS('F3 - Relevé du personnel'!$E$4:$E$281,'F3 - Relevé du personnel'!$D$4:$D$281,$V150,'F3 - Relevé du personnel'!$C$4:$C$281,'F0 - Données générales'!$K$31,'F3 - Relevé du personnel'!$B$4:$B$281,"9.1")))</f>
        <v/>
      </c>
      <c r="AK150" s="742" t="s">
        <v>61</v>
      </c>
      <c r="AL150" s="742"/>
      <c r="AM150" s="26" t="s">
        <v>80</v>
      </c>
      <c r="AN150" s="741" t="s">
        <v>81</v>
      </c>
      <c r="AO150" s="741"/>
      <c r="AP150" s="181">
        <f>SUMIFS('F3 - Relevé du personnel'!$E$4:$E$281,'F3 - Relevé du personnel'!$D$4:$D$281,$AM150,'F3 - Relevé du personnel'!$C$4:$C$281,'F0 - Données générales'!$K$31,'F3 - Relevé du personnel'!$B$4:$B$281,"Petit groupe")</f>
        <v>0</v>
      </c>
      <c r="AQ150" s="181">
        <f>SUMIFS('F3 - Relevé du personnel'!$H$4:$H$281,'F3 - Relevé du personnel'!$D$4:$D$281,$AM150,'F3 - Relevé du personnel'!$C$4:$C$281,'F0 - Données générales'!$K$31,'F3 - Relevé du personnel'!$B$4:$B$281,"Petit groupe")</f>
        <v>0</v>
      </c>
      <c r="AR150" s="256">
        <f>SUMIFS('F3 - Relevé du personnel'!$I$4:$I$281,'F3 - Relevé du personnel'!$D$4:$D$281,$AM150,'F3 - Relevé du personnel'!$C$4:$C$281,'F0 - Données générales'!$K$31,'F3 - Relevé du personnel'!$B$4:$B$281,"Petit groupe")</f>
        <v>0</v>
      </c>
      <c r="AS150" s="256">
        <f>SUMIFS('F3 - Relevé du personnel'!$M$4:$M$281,'F3 - Relevé du personnel'!$D$4:$D$281,$AM150,'F3 - Relevé du personnel'!$C$4:$C$281,'F0 - Données générales'!$K$31,'F3 - Relevé du personnel'!$B$4:$B$281,"Petit groupe")</f>
        <v>0</v>
      </c>
      <c r="AT150" s="196">
        <f t="shared" si="98"/>
        <v>0</v>
      </c>
      <c r="AU150" s="256">
        <f>SUMIFS('F3 - Relevé du personnel'!$O$4:$O$281,'F3 - Relevé du personnel'!$D$4:$D$281,$AM150,'F3 - Relevé du personnel'!$C$4:$C$281,'F0 - Données générales'!$K$31,'F3 - Relevé du personnel'!$B$4:$B$281,"Petit groupe")</f>
        <v>0</v>
      </c>
      <c r="AV150" s="256">
        <f>SUMIFS('F3 - Relevé du personnel'!$P$4:$P$281,'F3 - Relevé du personnel'!$D$4:$D$281,$AM150,'F3 - Relevé du personnel'!$C$4:$C$281,'F0 - Données générales'!$K$31,'F3 - Relevé du personnel'!$B$4:$B$281,"Petit groupe")</f>
        <v>0</v>
      </c>
      <c r="AW150" s="256">
        <f>SUMIFS('F3 - Relevé du personnel'!$Q$4:$Q$281,'F3 - Relevé du personnel'!$D$4:$D$281,$AM150,'F3 - Relevé du personnel'!$C$4:$C$281,'F0 - Données générales'!$K$31,'F3 - Relevé du personnel'!$B$4:$B$281,"Petit groupe")</f>
        <v>0</v>
      </c>
      <c r="AX150" s="182">
        <f t="shared" ref="AX150:AX155" si="103">AR150+AS150-SUM(AU150:AW150)</f>
        <v>0</v>
      </c>
      <c r="AY150" s="197" t="str">
        <f t="shared" si="102"/>
        <v/>
      </c>
      <c r="AZ150" s="198" t="str">
        <f>IF(AP150=0,"",(SUMPRODUCT(($D$4:$D$253=AM150)*($C$4:$C$253='F0 - Données générales'!$K$31)*($E$4:$E$253)*($F$4:$F$253)*($B$4:$B$253="0-3 ans"))+SUMPRODUCT(($D$257:$D$281=AM150)*($C$257:$C$281='F0 - Données générales'!$K$31)*($B$257:$B$281="0-3 ans")*($E$257:$E$281)*($F$257:$F$281)))/(SUMIFS('F3 - Relevé du personnel'!$E$4:$E$281,'F3 - Relevé du personnel'!$D$4:$D$281,$AM150,'F3 - Relevé du personnel'!$C$4:$C$281,'F0 - Données générales'!$K$31,'F3 - Relevé du personnel'!$B$4:$B$281,"0-3 ans")))</f>
        <v/>
      </c>
      <c r="BB150" s="823"/>
      <c r="BC150" s="824"/>
      <c r="BD150" s="825" t="s">
        <v>168</v>
      </c>
      <c r="BE150" s="826"/>
      <c r="BF150" s="827"/>
      <c r="BG150" s="190">
        <f>SUM(BG140:BG149)</f>
        <v>0</v>
      </c>
      <c r="BH150" s="191">
        <f>SUM(BH140:BH149)</f>
        <v>0</v>
      </c>
      <c r="BI150" s="191">
        <f>SUM(BI140:BI149)</f>
        <v>0</v>
      </c>
      <c r="BJ150" s="191">
        <f t="shared" si="87"/>
        <v>0</v>
      </c>
      <c r="BK150" s="191">
        <f>SUM(BK140:BK149)</f>
        <v>0</v>
      </c>
      <c r="BL150" s="191">
        <f>SUM(BL140:BL149)</f>
        <v>0</v>
      </c>
      <c r="BM150" s="191">
        <f>SUM(BM140:BM149)</f>
        <v>0</v>
      </c>
      <c r="BN150" s="192">
        <f>BH150+BI150-SUM(BK150:BM150)</f>
        <v>0</v>
      </c>
      <c r="BO150" s="192" t="str">
        <f t="shared" si="88"/>
        <v/>
      </c>
      <c r="BP150" s="193"/>
      <c r="BS150" s="14"/>
      <c r="BT150" s="14"/>
      <c r="BU150" s="14"/>
      <c r="BV150" s="14"/>
    </row>
    <row r="151" spans="1:74" ht="15" customHeight="1" x14ac:dyDescent="0.3">
      <c r="A151" s="106">
        <v>148</v>
      </c>
      <c r="B151" s="324">
        <f>'F0 - Données générales'!$C$4</f>
        <v>7</v>
      </c>
      <c r="C151" s="106" t="s">
        <v>95</v>
      </c>
      <c r="D151" s="106"/>
      <c r="E151" s="107"/>
      <c r="F151" s="108"/>
      <c r="G151" s="109"/>
      <c r="H151" s="110">
        <f t="shared" si="90"/>
        <v>0</v>
      </c>
      <c r="I151" s="177"/>
      <c r="J151" s="118" t="str">
        <f>IF(OR(D151="",F151=""),"",(((HLOOKUP(D151,'Carrières et points'!$A$20:$AD$60,F151+2,FALSE)*'Carrières et points'!$C$7*'Carrières et points'!$C$9)+(HLOOKUP(D151,'Carrières et points'!$A$20:$AD$60,F151+2,FALSE)*'Carrières et points'!$C$13*'Carrières et points'!$C$15))*(1+'F0 - Données générales'!$I$4)+((HLOOKUP(D151,'Carrières et points'!$A$20:$AD$60,F151+2,FALSE)*'Carrières et points'!$C$7*'Carrières et points'!$C$9)+(HLOOKUP(D151,'Carrières et points'!$A$20:$AD$60,F151+2,FALSE)*'Carrières et points'!$C$13*'Carrières et points'!$C$15))/12*(1+'F0 - Données générales'!$L$13))*E151)</f>
        <v/>
      </c>
      <c r="K151" s="118" t="str">
        <f t="shared" si="91"/>
        <v/>
      </c>
      <c r="L151" s="109"/>
      <c r="M151" s="177"/>
      <c r="N151" s="118" t="str">
        <f t="shared" si="92"/>
        <v/>
      </c>
      <c r="O151" s="177"/>
      <c r="P151" s="177"/>
      <c r="Q151" s="177"/>
      <c r="R151" s="255" t="str">
        <f t="shared" si="93"/>
        <v/>
      </c>
      <c r="S151" s="120"/>
      <c r="T151" s="742" t="s">
        <v>64</v>
      </c>
      <c r="U151" s="742"/>
      <c r="V151" s="26" t="s">
        <v>82</v>
      </c>
      <c r="W151" s="741" t="s">
        <v>83</v>
      </c>
      <c r="X151" s="741"/>
      <c r="Y151" s="181">
        <f>SUMIFS('F3 - Relevé du personnel'!$E$4:$E$281,'F3 - Relevé du personnel'!$D$4:$D$281,$V151,'F3 - Relevé du personnel'!$C$4:$C$281,'F0 - Données générales'!$K$31,'F3 - Relevé du personnel'!$B$4:$B$281,"9.1")</f>
        <v>0</v>
      </c>
      <c r="Z151" s="181">
        <f>SUMIFS('F3 - Relevé du personnel'!$H$4:$H$281,'F3 - Relevé du personnel'!$D$4:$D$281,$V151,'F3 - Relevé du personnel'!$C$4:$C$281,'F0 - Données générales'!$K$31,'F3 - Relevé du personnel'!$B$4:$B$281,"9.1")</f>
        <v>0</v>
      </c>
      <c r="AA151" s="256">
        <f>SUMIFS('F3 - Relevé du personnel'!$I$4:$I$281,'F3 - Relevé du personnel'!$D$4:$D$281,$V151,'F3 - Relevé du personnel'!$C$4:$C$281,'F0 - Données générales'!$K$31,'F3 - Relevé du personnel'!$B$4:$B$281,"9.1")</f>
        <v>0</v>
      </c>
      <c r="AB151" s="256">
        <f>SUMIFS('F3 - Relevé du personnel'!$M$4:$M$281,'F3 - Relevé du personnel'!$D$4:$D$281,$V151,'F3 - Relevé du personnel'!$C$4:$C$281,'F0 - Données générales'!$K$31,'F3 - Relevé du personnel'!$B$4:$B$281,"9.1")</f>
        <v>0</v>
      </c>
      <c r="AC151" s="196">
        <f t="shared" si="96"/>
        <v>0</v>
      </c>
      <c r="AD151" s="256">
        <f>SUMIFS('F3 - Relevé du personnel'!$O$4:$O$281,'F3 - Relevé du personnel'!$D$4:$D$281,$V151,'F3 - Relevé du personnel'!$C$4:$C$281,'F0 - Données générales'!$K$31,'F3 - Relevé du personnel'!$B$4:$B$281,"9.1")</f>
        <v>0</v>
      </c>
      <c r="AE151" s="256">
        <f>SUMIFS('F3 - Relevé du personnel'!$P$4:$P$281,'F3 - Relevé du personnel'!$D$4:$D$281,$V151,'F3 - Relevé du personnel'!$C$4:$C$281,'F0 - Données générales'!$K$31,'F3 - Relevé du personnel'!$B$4:$B$281,"9.1")</f>
        <v>0</v>
      </c>
      <c r="AF151" s="256">
        <f>SUMIFS('F3 - Relevé du personnel'!$Q$4:$Q$281,'F3 - Relevé du personnel'!$D$4:$D$281,$V151,'F3 - Relevé du personnel'!$C$4:$C$281,'F0 - Données générales'!$K$31,'F3 - Relevé du personnel'!$B$4:$B$281,"9.1")</f>
        <v>0</v>
      </c>
      <c r="AG151" s="182">
        <f t="shared" si="97"/>
        <v>0</v>
      </c>
      <c r="AH151" s="197" t="str">
        <f t="shared" si="100"/>
        <v/>
      </c>
      <c r="AI151" s="198" t="str">
        <f>IF(Y151=0,"",(SUMPRODUCT(($D$4:$D$253=V151)*($C$4:$C$253='F0 - Données générales'!$K$31)*($E$4:$E$253)*($F$4:$F$253)*($B$4:$B$253="9.1"))+SUMPRODUCT(($D$257:$D$281=V151)*($C$257:$C$281='F0 - Données générales'!$K$31)*($B$257:$B$281="9.1")*($E$257:$E$281)*($F$257:$F$281)))/(SUMIFS('F3 - Relevé du personnel'!$E$4:$E$281,'F3 - Relevé du personnel'!$D$4:$D$281,$V151,'F3 - Relevé du personnel'!$C$4:$C$281,'F0 - Données générales'!$K$31,'F3 - Relevé du personnel'!$B$4:$B$281,"9.1")))</f>
        <v/>
      </c>
      <c r="AK151" s="742" t="s">
        <v>64</v>
      </c>
      <c r="AL151" s="742"/>
      <c r="AM151" s="26" t="s">
        <v>82</v>
      </c>
      <c r="AN151" s="741" t="s">
        <v>83</v>
      </c>
      <c r="AO151" s="741"/>
      <c r="AP151" s="181">
        <f>SUMIFS('F3 - Relevé du personnel'!$E$4:$E$281,'F3 - Relevé du personnel'!$D$4:$D$281,$AM151,'F3 - Relevé du personnel'!$C$4:$C$281,'F0 - Données générales'!$K$31,'F3 - Relevé du personnel'!$B$4:$B$281,"Petit groupe")</f>
        <v>0</v>
      </c>
      <c r="AQ151" s="181">
        <f>SUMIFS('F3 - Relevé du personnel'!$H$4:$H$281,'F3 - Relevé du personnel'!$D$4:$D$281,$AM151,'F3 - Relevé du personnel'!$C$4:$C$281,'F0 - Données générales'!$K$31,'F3 - Relevé du personnel'!$B$4:$B$281,"Petit groupe")</f>
        <v>0</v>
      </c>
      <c r="AR151" s="256">
        <f>SUMIFS('F3 - Relevé du personnel'!$I$4:$I$281,'F3 - Relevé du personnel'!$D$4:$D$281,$AM151,'F3 - Relevé du personnel'!$C$4:$C$281,'F0 - Données générales'!$K$31,'F3 - Relevé du personnel'!$B$4:$B$281,"Petit groupe")</f>
        <v>0</v>
      </c>
      <c r="AS151" s="256">
        <f>SUMIFS('F3 - Relevé du personnel'!$M$4:$M$281,'F3 - Relevé du personnel'!$D$4:$D$281,$AM151,'F3 - Relevé du personnel'!$C$4:$C$281,'F0 - Données générales'!$K$31,'F3 - Relevé du personnel'!$B$4:$B$281,"Petit groupe")</f>
        <v>0</v>
      </c>
      <c r="AT151" s="196">
        <f t="shared" si="98"/>
        <v>0</v>
      </c>
      <c r="AU151" s="256">
        <f>SUMIFS('F3 - Relevé du personnel'!$O$4:$O$281,'F3 - Relevé du personnel'!$D$4:$D$281,$AM151,'F3 - Relevé du personnel'!$C$4:$C$281,'F0 - Données générales'!$K$31,'F3 - Relevé du personnel'!$B$4:$B$281,"Petit groupe")</f>
        <v>0</v>
      </c>
      <c r="AV151" s="256">
        <f>SUMIFS('F3 - Relevé du personnel'!$P$4:$P$281,'F3 - Relevé du personnel'!$D$4:$D$281,$AM151,'F3 - Relevé du personnel'!$C$4:$C$281,'F0 - Données générales'!$K$31,'F3 - Relevé du personnel'!$B$4:$B$281,"Petit groupe")</f>
        <v>0</v>
      </c>
      <c r="AW151" s="256">
        <f>SUMIFS('F3 - Relevé du personnel'!$Q$4:$Q$281,'F3 - Relevé du personnel'!$D$4:$D$281,$AM151,'F3 - Relevé du personnel'!$C$4:$C$281,'F0 - Données générales'!$K$31,'F3 - Relevé du personnel'!$B$4:$B$281,"Petit groupe")</f>
        <v>0</v>
      </c>
      <c r="AX151" s="182">
        <f t="shared" si="103"/>
        <v>0</v>
      </c>
      <c r="AY151" s="197" t="str">
        <f t="shared" si="102"/>
        <v/>
      </c>
      <c r="AZ151" s="198" t="str">
        <f>IF(AP151=0,"",(SUMPRODUCT(($D$4:$D$253=AM151)*($C$4:$C$253='F0 - Données générales'!$K$31)*($E$4:$E$253)*($F$4:$F$253)*($B$4:$B$253="0-3 ans"))+SUMPRODUCT(($D$257:$D$281=AM151)*($C$257:$C$281='F0 - Données générales'!$K$31)*($B$257:$B$281="0-3 ans")*($E$257:$E$281)*($F$257:$F$281)))/(SUMIFS('F3 - Relevé du personnel'!$E$4:$E$281,'F3 - Relevé du personnel'!$D$4:$D$281,$AM151,'F3 - Relevé du personnel'!$C$4:$C$281,'F0 - Données générales'!$K$31,'F3 - Relevé du personnel'!$B$4:$B$281,"0-3 ans")))</f>
        <v/>
      </c>
      <c r="BB151" s="774" t="s">
        <v>57</v>
      </c>
      <c r="BC151" s="775"/>
      <c r="BD151" s="775"/>
      <c r="BE151" s="775"/>
      <c r="BF151" s="811"/>
      <c r="BG151" s="46">
        <f t="shared" ref="BG151:BN151" si="104">BG130+BG137+BG139+BG150</f>
        <v>0</v>
      </c>
      <c r="BH151" s="47">
        <f t="shared" si="104"/>
        <v>0</v>
      </c>
      <c r="BI151" s="47">
        <f t="shared" si="104"/>
        <v>0</v>
      </c>
      <c r="BJ151" s="47">
        <f t="shared" si="104"/>
        <v>0</v>
      </c>
      <c r="BK151" s="47">
        <f t="shared" si="104"/>
        <v>0</v>
      </c>
      <c r="BL151" s="47">
        <f t="shared" si="104"/>
        <v>0</v>
      </c>
      <c r="BM151" s="47">
        <f t="shared" si="104"/>
        <v>0</v>
      </c>
      <c r="BN151" s="49">
        <f t="shared" si="104"/>
        <v>0</v>
      </c>
      <c r="BO151" s="49" t="str">
        <f t="shared" si="88"/>
        <v/>
      </c>
      <c r="BP151" s="173" t="str">
        <f>IF(BG151=0,"",(SUMPRODUCT(($C$4:$C$253='F0 - Données générales'!$K$34)*($E$4:$E$253)*($F$4:$F$253))+SUMPRODUCT(($C$257:$C$281='F0 - Données générales'!$K$34)*($E$257:$E$281)*($F$257:$F$281)))/(SUMIFS($E$4:$E$281,$C$4:$C$281,'F0 - Données générales'!$K$34)))</f>
        <v/>
      </c>
      <c r="BS151" s="14"/>
      <c r="BT151" s="14"/>
      <c r="BU151" s="14"/>
    </row>
    <row r="152" spans="1:74" ht="15" customHeight="1" x14ac:dyDescent="0.3">
      <c r="A152" s="106">
        <v>149</v>
      </c>
      <c r="B152" s="324">
        <f>'F0 - Données générales'!$C$4</f>
        <v>7</v>
      </c>
      <c r="C152" s="106" t="s">
        <v>95</v>
      </c>
      <c r="D152" s="106"/>
      <c r="E152" s="107"/>
      <c r="F152" s="108"/>
      <c r="G152" s="109"/>
      <c r="H152" s="110">
        <f t="shared" si="90"/>
        <v>0</v>
      </c>
      <c r="I152" s="177"/>
      <c r="J152" s="118" t="str">
        <f>IF(OR(D152="",F152=""),"",(((HLOOKUP(D152,'Carrières et points'!$A$20:$AD$60,F152+2,FALSE)*'Carrières et points'!$C$7*'Carrières et points'!$C$9)+(HLOOKUP(D152,'Carrières et points'!$A$20:$AD$60,F152+2,FALSE)*'Carrières et points'!$C$13*'Carrières et points'!$C$15))*(1+'F0 - Données générales'!$I$4)+((HLOOKUP(D152,'Carrières et points'!$A$20:$AD$60,F152+2,FALSE)*'Carrières et points'!$C$7*'Carrières et points'!$C$9)+(HLOOKUP(D152,'Carrières et points'!$A$20:$AD$60,F152+2,FALSE)*'Carrières et points'!$C$13*'Carrières et points'!$C$15))/12*(1+'F0 - Données générales'!$L$13))*E152)</f>
        <v/>
      </c>
      <c r="K152" s="118" t="str">
        <f t="shared" si="91"/>
        <v/>
      </c>
      <c r="L152" s="109"/>
      <c r="M152" s="177"/>
      <c r="N152" s="118" t="str">
        <f t="shared" si="92"/>
        <v/>
      </c>
      <c r="O152" s="177"/>
      <c r="P152" s="177"/>
      <c r="Q152" s="177"/>
      <c r="R152" s="255" t="str">
        <f t="shared" si="93"/>
        <v/>
      </c>
      <c r="S152" s="120"/>
      <c r="T152" s="742" t="s">
        <v>65</v>
      </c>
      <c r="U152" s="742"/>
      <c r="V152" s="26" t="s">
        <v>84</v>
      </c>
      <c r="W152" s="741" t="s">
        <v>85</v>
      </c>
      <c r="X152" s="741"/>
      <c r="Y152" s="181">
        <f>SUMIFS('F3 - Relevé du personnel'!$E$4:$E$281,'F3 - Relevé du personnel'!$D$4:$D$281,$V152,'F3 - Relevé du personnel'!$C$4:$C$281,'F0 - Données générales'!$K$31,'F3 - Relevé du personnel'!$B$4:$B$281,"9.1")</f>
        <v>0</v>
      </c>
      <c r="Z152" s="181">
        <f>SUMIFS('F3 - Relevé du personnel'!$H$4:$H$281,'F3 - Relevé du personnel'!$D$4:$D$281,$V152,'F3 - Relevé du personnel'!$C$4:$C$281,'F0 - Données générales'!$K$31,'F3 - Relevé du personnel'!$B$4:$B$281,"9.1")</f>
        <v>0</v>
      </c>
      <c r="AA152" s="256">
        <f>SUMIFS('F3 - Relevé du personnel'!$I$4:$I$281,'F3 - Relevé du personnel'!$D$4:$D$281,$V152,'F3 - Relevé du personnel'!$C$4:$C$281,'F0 - Données générales'!$K$31,'F3 - Relevé du personnel'!$B$4:$B$281,"9.1")</f>
        <v>0</v>
      </c>
      <c r="AB152" s="256">
        <f>SUMIFS('F3 - Relevé du personnel'!$M$4:$M$281,'F3 - Relevé du personnel'!$D$4:$D$281,$V152,'F3 - Relevé du personnel'!$C$4:$C$281,'F0 - Données générales'!$K$31,'F3 - Relevé du personnel'!$B$4:$B$281,"9.1")</f>
        <v>0</v>
      </c>
      <c r="AC152" s="196">
        <f t="shared" si="96"/>
        <v>0</v>
      </c>
      <c r="AD152" s="256">
        <f>SUMIFS('F3 - Relevé du personnel'!$O$4:$O$281,'F3 - Relevé du personnel'!$D$4:$D$281,$V152,'F3 - Relevé du personnel'!$C$4:$C$281,'F0 - Données générales'!$K$31,'F3 - Relevé du personnel'!$B$4:$B$281,"9.1")</f>
        <v>0</v>
      </c>
      <c r="AE152" s="256">
        <f>SUMIFS('F3 - Relevé du personnel'!$P$4:$P$281,'F3 - Relevé du personnel'!$D$4:$D$281,$V152,'F3 - Relevé du personnel'!$C$4:$C$281,'F0 - Données générales'!$K$31,'F3 - Relevé du personnel'!$B$4:$B$281,"9.1")</f>
        <v>0</v>
      </c>
      <c r="AF152" s="256">
        <f>SUMIFS('F3 - Relevé du personnel'!$Q$4:$Q$281,'F3 - Relevé du personnel'!$D$4:$D$281,$V152,'F3 - Relevé du personnel'!$C$4:$C$281,'F0 - Données générales'!$K$31,'F3 - Relevé du personnel'!$B$4:$B$281,"9.1")</f>
        <v>0</v>
      </c>
      <c r="AG152" s="182">
        <f t="shared" si="97"/>
        <v>0</v>
      </c>
      <c r="AH152" s="197" t="str">
        <f t="shared" si="100"/>
        <v/>
      </c>
      <c r="AI152" s="198" t="str">
        <f>IF(Y152=0,"",(SUMPRODUCT(($D$4:$D$253=V152)*($C$4:$C$253='F0 - Données générales'!$K$31)*($E$4:$E$253)*($F$4:$F$253)*($B$4:$B$253="9.1"))+SUMPRODUCT(($D$257:$D$281=V152)*($C$257:$C$281='F0 - Données générales'!$K$31)*($B$257:$B$281="9.1")*($E$257:$E$281)*($F$257:$F$281)))/(SUMIFS('F3 - Relevé du personnel'!$E$4:$E$281,'F3 - Relevé du personnel'!$D$4:$D$281,$V152,'F3 - Relevé du personnel'!$C$4:$C$281,'F0 - Données générales'!$K$31,'F3 - Relevé du personnel'!$B$4:$B$281,"9.1")))</f>
        <v/>
      </c>
      <c r="AK152" s="742" t="s">
        <v>65</v>
      </c>
      <c r="AL152" s="742"/>
      <c r="AM152" s="26" t="s">
        <v>84</v>
      </c>
      <c r="AN152" s="741" t="s">
        <v>85</v>
      </c>
      <c r="AO152" s="741"/>
      <c r="AP152" s="181">
        <f>SUMIFS('F3 - Relevé du personnel'!$E$4:$E$281,'F3 - Relevé du personnel'!$D$4:$D$281,$AM152,'F3 - Relevé du personnel'!$C$4:$C$281,'F0 - Données générales'!$K$31,'F3 - Relevé du personnel'!$B$4:$B$281,"Petit groupe")</f>
        <v>0</v>
      </c>
      <c r="AQ152" s="181">
        <f>SUMIFS('F3 - Relevé du personnel'!$H$4:$H$281,'F3 - Relevé du personnel'!$D$4:$D$281,$AM152,'F3 - Relevé du personnel'!$C$4:$C$281,'F0 - Données générales'!$K$31,'F3 - Relevé du personnel'!$B$4:$B$281,"Petit groupe")</f>
        <v>0</v>
      </c>
      <c r="AR152" s="256">
        <f>SUMIFS('F3 - Relevé du personnel'!$I$4:$I$281,'F3 - Relevé du personnel'!$D$4:$D$281,$AM152,'F3 - Relevé du personnel'!$C$4:$C$281,'F0 - Données générales'!$K$31,'F3 - Relevé du personnel'!$B$4:$B$281,"Petit groupe")</f>
        <v>0</v>
      </c>
      <c r="AS152" s="256">
        <f>SUMIFS('F3 - Relevé du personnel'!$M$4:$M$281,'F3 - Relevé du personnel'!$D$4:$D$281,$AM152,'F3 - Relevé du personnel'!$C$4:$C$281,'F0 - Données générales'!$K$31,'F3 - Relevé du personnel'!$B$4:$B$281,"Petit groupe")</f>
        <v>0</v>
      </c>
      <c r="AT152" s="196">
        <f t="shared" si="98"/>
        <v>0</v>
      </c>
      <c r="AU152" s="256">
        <f>SUMIFS('F3 - Relevé du personnel'!$O$4:$O$281,'F3 - Relevé du personnel'!$D$4:$D$281,$AM152,'F3 - Relevé du personnel'!$C$4:$C$281,'F0 - Données générales'!$K$31,'F3 - Relevé du personnel'!$B$4:$B$281,"Petit groupe")</f>
        <v>0</v>
      </c>
      <c r="AV152" s="256">
        <f>SUMIFS('F3 - Relevé du personnel'!$P$4:$P$281,'F3 - Relevé du personnel'!$D$4:$D$281,$AM152,'F3 - Relevé du personnel'!$C$4:$C$281,'F0 - Données générales'!$K$31,'F3 - Relevé du personnel'!$B$4:$B$281,"Petit groupe")</f>
        <v>0</v>
      </c>
      <c r="AW152" s="256">
        <f>SUMIFS('F3 - Relevé du personnel'!$Q$4:$Q$281,'F3 - Relevé du personnel'!$D$4:$D$281,$AM152,'F3 - Relevé du personnel'!$C$4:$C$281,'F0 - Données générales'!$K$31,'F3 - Relevé du personnel'!$B$4:$B$281,"Petit groupe")</f>
        <v>0</v>
      </c>
      <c r="AX152" s="182">
        <f t="shared" si="103"/>
        <v>0</v>
      </c>
      <c r="AY152" s="197" t="str">
        <f t="shared" si="102"/>
        <v/>
      </c>
      <c r="AZ152" s="198" t="str">
        <f>IF(AP152=0,"",(SUMPRODUCT(($D$4:$D$253=AM152)*($C$4:$C$253='F0 - Données générales'!$K$31)*($E$4:$E$253)*($F$4:$F$253)*($B$4:$B$253="0-3 ans"))+SUMPRODUCT(($D$257:$D$281=AM152)*($C$257:$C$281='F0 - Données générales'!$K$31)*($B$257:$B$281="0-3 ans")*($E$257:$E$281)*($F$257:$F$281)))/(SUMIFS('F3 - Relevé du personnel'!$E$4:$E$281,'F3 - Relevé du personnel'!$D$4:$D$281,$AM152,'F3 - Relevé du personnel'!$C$4:$C$281,'F0 - Données générales'!$K$31,'F3 - Relevé du personnel'!$B$4:$B$281,"0-3 ans")))</f>
        <v/>
      </c>
      <c r="BS152" s="14"/>
      <c r="BT152" s="14"/>
      <c r="BU152" s="14"/>
      <c r="BV152" s="14"/>
    </row>
    <row r="153" spans="1:74" ht="15" customHeight="1" x14ac:dyDescent="0.3">
      <c r="A153" s="106">
        <v>150</v>
      </c>
      <c r="B153" s="324">
        <f>'F0 - Données générales'!$C$4</f>
        <v>7</v>
      </c>
      <c r="C153" s="106" t="s">
        <v>95</v>
      </c>
      <c r="D153" s="106"/>
      <c r="E153" s="107"/>
      <c r="F153" s="108"/>
      <c r="G153" s="109"/>
      <c r="H153" s="110">
        <f t="shared" si="90"/>
        <v>0</v>
      </c>
      <c r="I153" s="177"/>
      <c r="J153" s="118" t="str">
        <f>IF(OR(D153="",F153=""),"",(((HLOOKUP(D153,'Carrières et points'!$A$20:$AD$60,F153+2,FALSE)*'Carrières et points'!$C$7*'Carrières et points'!$C$9)+(HLOOKUP(D153,'Carrières et points'!$A$20:$AD$60,F153+2,FALSE)*'Carrières et points'!$C$13*'Carrières et points'!$C$15))*(1+'F0 - Données générales'!$I$4)+((HLOOKUP(D153,'Carrières et points'!$A$20:$AD$60,F153+2,FALSE)*'Carrières et points'!$C$7*'Carrières et points'!$C$9)+(HLOOKUP(D153,'Carrières et points'!$A$20:$AD$60,F153+2,FALSE)*'Carrières et points'!$C$13*'Carrières et points'!$C$15))/12*(1+'F0 - Données générales'!$L$13))*E153)</f>
        <v/>
      </c>
      <c r="K153" s="118" t="str">
        <f t="shared" si="91"/>
        <v/>
      </c>
      <c r="L153" s="109"/>
      <c r="M153" s="177"/>
      <c r="N153" s="118" t="str">
        <f t="shared" si="92"/>
        <v/>
      </c>
      <c r="O153" s="177"/>
      <c r="P153" s="177"/>
      <c r="Q153" s="177"/>
      <c r="R153" s="255" t="str">
        <f t="shared" si="93"/>
        <v/>
      </c>
      <c r="S153" s="120"/>
      <c r="T153" s="742" t="s">
        <v>79</v>
      </c>
      <c r="U153" s="742"/>
      <c r="V153" s="26" t="s">
        <v>86</v>
      </c>
      <c r="W153" s="741" t="s">
        <v>87</v>
      </c>
      <c r="X153" s="741"/>
      <c r="Y153" s="181">
        <f>SUMIFS('F3 - Relevé du personnel'!$E$4:$E$281,'F3 - Relevé du personnel'!$D$4:$D$281,$V153,'F3 - Relevé du personnel'!$C$4:$C$281,'F0 - Données générales'!$K$31,'F3 - Relevé du personnel'!$B$4:$B$281,"9.1")</f>
        <v>0</v>
      </c>
      <c r="Z153" s="181">
        <f>SUMIFS('F3 - Relevé du personnel'!$H$4:$H$281,'F3 - Relevé du personnel'!$D$4:$D$281,$V153,'F3 - Relevé du personnel'!$C$4:$C$281,'F0 - Données générales'!$K$31,'F3 - Relevé du personnel'!$B$4:$B$281,"9.1")</f>
        <v>0</v>
      </c>
      <c r="AA153" s="256">
        <f>SUMIFS('F3 - Relevé du personnel'!$I$4:$I$281,'F3 - Relevé du personnel'!$D$4:$D$281,$V153,'F3 - Relevé du personnel'!$C$4:$C$281,'F0 - Données générales'!$K$31,'F3 - Relevé du personnel'!$B$4:$B$281,"9.1")</f>
        <v>0</v>
      </c>
      <c r="AB153" s="256">
        <f>SUMIFS('F3 - Relevé du personnel'!$M$4:$M$281,'F3 - Relevé du personnel'!$D$4:$D$281,$V153,'F3 - Relevé du personnel'!$C$4:$C$281,'F0 - Données générales'!$K$31,'F3 - Relevé du personnel'!$B$4:$B$281,"9.1")</f>
        <v>0</v>
      </c>
      <c r="AC153" s="196">
        <f t="shared" si="96"/>
        <v>0</v>
      </c>
      <c r="AD153" s="256">
        <f>SUMIFS('F3 - Relevé du personnel'!$O$4:$O$281,'F3 - Relevé du personnel'!$D$4:$D$281,$V153,'F3 - Relevé du personnel'!$C$4:$C$281,'F0 - Données générales'!$K$31,'F3 - Relevé du personnel'!$B$4:$B$281,"9.1")</f>
        <v>0</v>
      </c>
      <c r="AE153" s="256">
        <f>SUMIFS('F3 - Relevé du personnel'!$P$4:$P$281,'F3 - Relevé du personnel'!$D$4:$D$281,$V153,'F3 - Relevé du personnel'!$C$4:$C$281,'F0 - Données générales'!$K$31,'F3 - Relevé du personnel'!$B$4:$B$281,"9.1")</f>
        <v>0</v>
      </c>
      <c r="AF153" s="256">
        <f>SUMIFS('F3 - Relevé du personnel'!$Q$4:$Q$281,'F3 - Relevé du personnel'!$D$4:$D$281,$V153,'F3 - Relevé du personnel'!$C$4:$C$281,'F0 - Données générales'!$K$31,'F3 - Relevé du personnel'!$B$4:$B$281,"9.1")</f>
        <v>0</v>
      </c>
      <c r="AG153" s="182">
        <f t="shared" si="97"/>
        <v>0</v>
      </c>
      <c r="AH153" s="197" t="str">
        <f t="shared" si="100"/>
        <v/>
      </c>
      <c r="AI153" s="198" t="str">
        <f>IF(Y153=0,"",(SUMPRODUCT(($D$4:$D$253=V153)*($C$4:$C$253='F0 - Données générales'!$K$31)*($E$4:$E$253)*($F$4:$F$253)*($B$4:$B$253="9.1"))+SUMPRODUCT(($D$257:$D$281=V153)*($C$257:$C$281='F0 - Données générales'!$K$31)*($B$257:$B$281="9.1")*($E$257:$E$281)*($F$257:$F$281)))/(SUMIFS('F3 - Relevé du personnel'!$E$4:$E$281,'F3 - Relevé du personnel'!$D$4:$D$281,$V153,'F3 - Relevé du personnel'!$C$4:$C$281,'F0 - Données générales'!$K$31,'F3 - Relevé du personnel'!$B$4:$B$281,"9.1")))</f>
        <v/>
      </c>
      <c r="AK153" s="742" t="s">
        <v>79</v>
      </c>
      <c r="AL153" s="742"/>
      <c r="AM153" s="26" t="s">
        <v>86</v>
      </c>
      <c r="AN153" s="741" t="s">
        <v>87</v>
      </c>
      <c r="AO153" s="741"/>
      <c r="AP153" s="181">
        <f>SUMIFS('F3 - Relevé du personnel'!$E$4:$E$281,'F3 - Relevé du personnel'!$D$4:$D$281,$AM153,'F3 - Relevé du personnel'!$C$4:$C$281,'F0 - Données générales'!$K$31,'F3 - Relevé du personnel'!$B$4:$B$281,"Petit groupe")</f>
        <v>0</v>
      </c>
      <c r="AQ153" s="181">
        <f>SUMIFS('F3 - Relevé du personnel'!$H$4:$H$281,'F3 - Relevé du personnel'!$D$4:$D$281,$AM153,'F3 - Relevé du personnel'!$C$4:$C$281,'F0 - Données générales'!$K$31,'F3 - Relevé du personnel'!$B$4:$B$281,"Petit groupe")</f>
        <v>0</v>
      </c>
      <c r="AR153" s="256">
        <f>SUMIFS('F3 - Relevé du personnel'!$I$4:$I$281,'F3 - Relevé du personnel'!$D$4:$D$281,$AM153,'F3 - Relevé du personnel'!$C$4:$C$281,'F0 - Données générales'!$K$31,'F3 - Relevé du personnel'!$B$4:$B$281,"Petit groupe")</f>
        <v>0</v>
      </c>
      <c r="AS153" s="256">
        <f>SUMIFS('F3 - Relevé du personnel'!$M$4:$M$281,'F3 - Relevé du personnel'!$D$4:$D$281,$AM153,'F3 - Relevé du personnel'!$C$4:$C$281,'F0 - Données générales'!$K$31,'F3 - Relevé du personnel'!$B$4:$B$281,"Petit groupe")</f>
        <v>0</v>
      </c>
      <c r="AT153" s="196">
        <f t="shared" si="98"/>
        <v>0</v>
      </c>
      <c r="AU153" s="256">
        <f>SUMIFS('F3 - Relevé du personnel'!$O$4:$O$281,'F3 - Relevé du personnel'!$D$4:$D$281,$AM153,'F3 - Relevé du personnel'!$C$4:$C$281,'F0 - Données générales'!$K$31,'F3 - Relevé du personnel'!$B$4:$B$281,"Petit groupe")</f>
        <v>0</v>
      </c>
      <c r="AV153" s="256">
        <f>SUMIFS('F3 - Relevé du personnel'!$P$4:$P$281,'F3 - Relevé du personnel'!$D$4:$D$281,$AM153,'F3 - Relevé du personnel'!$C$4:$C$281,'F0 - Données générales'!$K$31,'F3 - Relevé du personnel'!$B$4:$B$281,"Petit groupe")</f>
        <v>0</v>
      </c>
      <c r="AW153" s="256">
        <f>SUMIFS('F3 - Relevé du personnel'!$Q$4:$Q$281,'F3 - Relevé du personnel'!$D$4:$D$281,$AM153,'F3 - Relevé du personnel'!$C$4:$C$281,'F0 - Données générales'!$K$31,'F3 - Relevé du personnel'!$B$4:$B$281,"Petit groupe")</f>
        <v>0</v>
      </c>
      <c r="AX153" s="182">
        <f t="shared" si="103"/>
        <v>0</v>
      </c>
      <c r="AY153" s="197" t="str">
        <f t="shared" si="102"/>
        <v/>
      </c>
      <c r="AZ153" s="198" t="str">
        <f>IF(AP153=0,"",(SUMPRODUCT(($D$4:$D$253=AM153)*($C$4:$C$253='F0 - Données générales'!$K$31)*($E$4:$E$253)*($F$4:$F$253)*($B$4:$B$253="0-3 ans"))+SUMPRODUCT(($D$257:$D$281=AM153)*($C$257:$C$281='F0 - Données générales'!$K$31)*($B$257:$B$281="0-3 ans")*($E$257:$E$281)*($F$257:$F$281)))/(SUMIFS('F3 - Relevé du personnel'!$E$4:$E$281,'F3 - Relevé du personnel'!$D$4:$D$281,$AM153,'F3 - Relevé du personnel'!$C$4:$C$281,'F0 - Données générales'!$K$31,'F3 - Relevé du personnel'!$B$4:$B$281,"0-3 ans")))</f>
        <v/>
      </c>
      <c r="BS153" s="14"/>
      <c r="BT153" s="14"/>
      <c r="BU153" s="14"/>
      <c r="BV153" s="14"/>
    </row>
    <row r="154" spans="1:74" ht="15" customHeight="1" x14ac:dyDescent="0.3">
      <c r="A154" s="106">
        <v>151</v>
      </c>
      <c r="B154" s="324">
        <f>'F0 - Données générales'!$C$4</f>
        <v>7</v>
      </c>
      <c r="C154" s="106" t="s">
        <v>95</v>
      </c>
      <c r="D154" s="106"/>
      <c r="E154" s="107"/>
      <c r="F154" s="108"/>
      <c r="G154" s="109"/>
      <c r="H154" s="110">
        <f t="shared" si="90"/>
        <v>0</v>
      </c>
      <c r="I154" s="177"/>
      <c r="J154" s="118" t="str">
        <f>IF(OR(D154="",F154=""),"",(((HLOOKUP(D154,'Carrières et points'!$A$20:$AD$60,F154+2,FALSE)*'Carrières et points'!$C$7*'Carrières et points'!$C$9)+(HLOOKUP(D154,'Carrières et points'!$A$20:$AD$60,F154+2,FALSE)*'Carrières et points'!$C$13*'Carrières et points'!$C$15))*(1+'F0 - Données générales'!$I$4)+((HLOOKUP(D154,'Carrières et points'!$A$20:$AD$60,F154+2,FALSE)*'Carrières et points'!$C$7*'Carrières et points'!$C$9)+(HLOOKUP(D154,'Carrières et points'!$A$20:$AD$60,F154+2,FALSE)*'Carrières et points'!$C$13*'Carrières et points'!$C$15))/12*(1+'F0 - Données générales'!$L$13))*E154)</f>
        <v/>
      </c>
      <c r="K154" s="118" t="str">
        <f t="shared" si="91"/>
        <v/>
      </c>
      <c r="L154" s="109"/>
      <c r="M154" s="177"/>
      <c r="N154" s="118" t="str">
        <f t="shared" si="92"/>
        <v/>
      </c>
      <c r="O154" s="177"/>
      <c r="P154" s="177"/>
      <c r="Q154" s="177"/>
      <c r="R154" s="255" t="str">
        <f t="shared" si="93"/>
        <v/>
      </c>
      <c r="S154" s="120"/>
      <c r="T154" s="742" t="s">
        <v>79</v>
      </c>
      <c r="U154" s="742"/>
      <c r="V154" s="26" t="s">
        <v>88</v>
      </c>
      <c r="W154" s="741" t="s">
        <v>89</v>
      </c>
      <c r="X154" s="741"/>
      <c r="Y154" s="181">
        <f>SUMIFS('F3 - Relevé du personnel'!$E$4:$E$281,'F3 - Relevé du personnel'!$D$4:$D$281,$V154,'F3 - Relevé du personnel'!$C$4:$C$281,'F0 - Données générales'!$K$31,'F3 - Relevé du personnel'!$B$4:$B$281,"9.1")</f>
        <v>0</v>
      </c>
      <c r="Z154" s="181">
        <f>SUMIFS('F3 - Relevé du personnel'!$H$4:$H$281,'F3 - Relevé du personnel'!$D$4:$D$281,$V154,'F3 - Relevé du personnel'!$C$4:$C$281,'F0 - Données générales'!$K$31,'F3 - Relevé du personnel'!$B$4:$B$281,"9.1")</f>
        <v>0</v>
      </c>
      <c r="AA154" s="256">
        <f>SUMIFS('F3 - Relevé du personnel'!$I$4:$I$281,'F3 - Relevé du personnel'!$D$4:$D$281,$V154,'F3 - Relevé du personnel'!$C$4:$C$281,'F0 - Données générales'!$K$31,'F3 - Relevé du personnel'!$B$4:$B$281,"9.1")</f>
        <v>0</v>
      </c>
      <c r="AB154" s="256">
        <f>SUMIFS('F3 - Relevé du personnel'!$M$4:$M$281,'F3 - Relevé du personnel'!$D$4:$D$281,$V154,'F3 - Relevé du personnel'!$C$4:$C$281,'F0 - Données générales'!$K$31,'F3 - Relevé du personnel'!$B$4:$B$281,"9.1")</f>
        <v>0</v>
      </c>
      <c r="AC154" s="196">
        <f t="shared" si="96"/>
        <v>0</v>
      </c>
      <c r="AD154" s="256">
        <f>SUMIFS('F3 - Relevé du personnel'!$O$4:$O$281,'F3 - Relevé du personnel'!$D$4:$D$281,$V154,'F3 - Relevé du personnel'!$C$4:$C$281,'F0 - Données générales'!$K$31,'F3 - Relevé du personnel'!$B$4:$B$281,"9.1")</f>
        <v>0</v>
      </c>
      <c r="AE154" s="256">
        <f>SUMIFS('F3 - Relevé du personnel'!$P$4:$P$281,'F3 - Relevé du personnel'!$D$4:$D$281,$V154,'F3 - Relevé du personnel'!$C$4:$C$281,'F0 - Données générales'!$K$31,'F3 - Relevé du personnel'!$B$4:$B$281,"9.1")</f>
        <v>0</v>
      </c>
      <c r="AF154" s="256">
        <f>SUMIFS('F3 - Relevé du personnel'!$Q$4:$Q$281,'F3 - Relevé du personnel'!$D$4:$D$281,$V154,'F3 - Relevé du personnel'!$C$4:$C$281,'F0 - Données générales'!$K$31,'F3 - Relevé du personnel'!$B$4:$B$281,"9.1")</f>
        <v>0</v>
      </c>
      <c r="AG154" s="182">
        <f t="shared" si="97"/>
        <v>0</v>
      </c>
      <c r="AH154" s="197" t="str">
        <f t="shared" si="100"/>
        <v/>
      </c>
      <c r="AI154" s="198" t="str">
        <f>IF(Y154=0,"",(SUMPRODUCT(($D$4:$D$253=V154)*($C$4:$C$253='F0 - Données générales'!$K$31)*($E$4:$E$253)*($F$4:$F$253)*($B$4:$B$253="9.1"))+SUMPRODUCT(($D$257:$D$281=V154)*($C$257:$C$281='F0 - Données générales'!$K$31)*($B$257:$B$281="9.1")*($E$257:$E$281)*($F$257:$F$281)))/(SUMIFS('F3 - Relevé du personnel'!$E$4:$E$281,'F3 - Relevé du personnel'!$D$4:$D$281,$V154,'F3 - Relevé du personnel'!$C$4:$C$281,'F0 - Données générales'!$K$31,'F3 - Relevé du personnel'!$B$4:$B$281,"9.1")))</f>
        <v/>
      </c>
      <c r="AK154" s="742" t="s">
        <v>79</v>
      </c>
      <c r="AL154" s="742"/>
      <c r="AM154" s="26" t="s">
        <v>88</v>
      </c>
      <c r="AN154" s="741" t="s">
        <v>89</v>
      </c>
      <c r="AO154" s="741"/>
      <c r="AP154" s="181">
        <f>SUMIFS('F3 - Relevé du personnel'!$E$4:$E$281,'F3 - Relevé du personnel'!$D$4:$D$281,$AM154,'F3 - Relevé du personnel'!$C$4:$C$281,'F0 - Données générales'!$K$31,'F3 - Relevé du personnel'!$B$4:$B$281,"Petit groupe")</f>
        <v>0</v>
      </c>
      <c r="AQ154" s="181">
        <f>SUMIFS('F3 - Relevé du personnel'!$H$4:$H$281,'F3 - Relevé du personnel'!$D$4:$D$281,$AM154,'F3 - Relevé du personnel'!$C$4:$C$281,'F0 - Données générales'!$K$31,'F3 - Relevé du personnel'!$B$4:$B$281,"Petit groupe")</f>
        <v>0</v>
      </c>
      <c r="AR154" s="256">
        <f>SUMIFS('F3 - Relevé du personnel'!$I$4:$I$281,'F3 - Relevé du personnel'!$D$4:$D$281,$AM154,'F3 - Relevé du personnel'!$C$4:$C$281,'F0 - Données générales'!$K$31,'F3 - Relevé du personnel'!$B$4:$B$281,"Petit groupe")</f>
        <v>0</v>
      </c>
      <c r="AS154" s="256">
        <f>SUMIFS('F3 - Relevé du personnel'!$M$4:$M$281,'F3 - Relevé du personnel'!$D$4:$D$281,$AM154,'F3 - Relevé du personnel'!$C$4:$C$281,'F0 - Données générales'!$K$31,'F3 - Relevé du personnel'!$B$4:$B$281,"Petit groupe")</f>
        <v>0</v>
      </c>
      <c r="AT154" s="196">
        <f t="shared" si="98"/>
        <v>0</v>
      </c>
      <c r="AU154" s="256">
        <f>SUMIFS('F3 - Relevé du personnel'!$O$4:$O$281,'F3 - Relevé du personnel'!$D$4:$D$281,$AM154,'F3 - Relevé du personnel'!$C$4:$C$281,'F0 - Données générales'!$K$31,'F3 - Relevé du personnel'!$B$4:$B$281,"Petit groupe")</f>
        <v>0</v>
      </c>
      <c r="AV154" s="256">
        <f>SUMIFS('F3 - Relevé du personnel'!$P$4:$P$281,'F3 - Relevé du personnel'!$D$4:$D$281,$AM154,'F3 - Relevé du personnel'!$C$4:$C$281,'F0 - Données générales'!$K$31,'F3 - Relevé du personnel'!$B$4:$B$281,"Petit groupe")</f>
        <v>0</v>
      </c>
      <c r="AW154" s="256">
        <f>SUMIFS('F3 - Relevé du personnel'!$Q$4:$Q$281,'F3 - Relevé du personnel'!$D$4:$D$281,$AM154,'F3 - Relevé du personnel'!$C$4:$C$281,'F0 - Données générales'!$K$31,'F3 - Relevé du personnel'!$B$4:$B$281,"Petit groupe")</f>
        <v>0</v>
      </c>
      <c r="AX154" s="182">
        <f t="shared" si="103"/>
        <v>0</v>
      </c>
      <c r="AY154" s="197" t="str">
        <f t="shared" si="102"/>
        <v/>
      </c>
      <c r="AZ154" s="198" t="str">
        <f>IF(AP154=0,"",(SUMPRODUCT(($D$4:$D$253=AM154)*($C$4:$C$253='F0 - Données générales'!$K$31)*($E$4:$E$253)*($F$4:$F$253)*($B$4:$B$253="0-3 ans"))+SUMPRODUCT(($D$257:$D$281=AM154)*($C$257:$C$281='F0 - Données générales'!$K$31)*($B$257:$B$281="0-3 ans")*($E$257:$E$281)*($F$257:$F$281)))/(SUMIFS('F3 - Relevé du personnel'!$E$4:$E$281,'F3 - Relevé du personnel'!$D$4:$D$281,$AM154,'F3 - Relevé du personnel'!$C$4:$C$281,'F0 - Données générales'!$K$31,'F3 - Relevé du personnel'!$B$4:$B$281,"0-3 ans")))</f>
        <v/>
      </c>
      <c r="BS154" s="14"/>
      <c r="BT154" s="14"/>
      <c r="BU154" s="14"/>
      <c r="BV154" s="14"/>
    </row>
    <row r="155" spans="1:74" ht="15" customHeight="1" x14ac:dyDescent="0.3">
      <c r="A155" s="106">
        <v>152</v>
      </c>
      <c r="B155" s="324">
        <f>'F0 - Données générales'!$C$4</f>
        <v>7</v>
      </c>
      <c r="C155" s="106" t="s">
        <v>95</v>
      </c>
      <c r="D155" s="106"/>
      <c r="E155" s="107"/>
      <c r="F155" s="108"/>
      <c r="G155" s="109"/>
      <c r="H155" s="110">
        <f t="shared" si="90"/>
        <v>0</v>
      </c>
      <c r="I155" s="177"/>
      <c r="J155" s="118" t="str">
        <f>IF(OR(D155="",F155=""),"",(((HLOOKUP(D155,'Carrières et points'!$A$20:$AD$60,F155+2,FALSE)*'Carrières et points'!$C$7*'Carrières et points'!$C$9)+(HLOOKUP(D155,'Carrières et points'!$A$20:$AD$60,F155+2,FALSE)*'Carrières et points'!$C$13*'Carrières et points'!$C$15))*(1+'F0 - Données générales'!$I$4)+((HLOOKUP(D155,'Carrières et points'!$A$20:$AD$60,F155+2,FALSE)*'Carrières et points'!$C$7*'Carrières et points'!$C$9)+(HLOOKUP(D155,'Carrières et points'!$A$20:$AD$60,F155+2,FALSE)*'Carrières et points'!$C$13*'Carrières et points'!$C$15))/12*(1+'F0 - Données générales'!$L$13))*E155)</f>
        <v/>
      </c>
      <c r="K155" s="118" t="str">
        <f t="shared" si="91"/>
        <v/>
      </c>
      <c r="L155" s="109"/>
      <c r="M155" s="177"/>
      <c r="N155" s="118" t="str">
        <f t="shared" si="92"/>
        <v/>
      </c>
      <c r="O155" s="177"/>
      <c r="P155" s="177"/>
      <c r="Q155" s="177"/>
      <c r="R155" s="255" t="str">
        <f t="shared" si="93"/>
        <v/>
      </c>
      <c r="S155" s="120"/>
      <c r="T155" s="742" t="s">
        <v>79</v>
      </c>
      <c r="U155" s="742"/>
      <c r="V155" s="26" t="s">
        <v>90</v>
      </c>
      <c r="W155" s="741" t="s">
        <v>91</v>
      </c>
      <c r="X155" s="741"/>
      <c r="Y155" s="181">
        <f>SUMIFS('F3 - Relevé du personnel'!$E$4:$E$281,'F3 - Relevé du personnel'!$D$4:$D$281,$V155,'F3 - Relevé du personnel'!$C$4:$C$281,'F0 - Données générales'!$K$31,'F3 - Relevé du personnel'!$B$4:$B$281,"9.1")</f>
        <v>0</v>
      </c>
      <c r="Z155" s="181">
        <f>SUMIFS('F3 - Relevé du personnel'!$H$4:$H$281,'F3 - Relevé du personnel'!$D$4:$D$281,$V155,'F3 - Relevé du personnel'!$C$4:$C$281,'F0 - Données générales'!$K$31,'F3 - Relevé du personnel'!$B$4:$B$281,"9.1")</f>
        <v>0</v>
      </c>
      <c r="AA155" s="256">
        <f>SUMIFS('F3 - Relevé du personnel'!$I$4:$I$281,'F3 - Relevé du personnel'!$D$4:$D$281,$V155,'F3 - Relevé du personnel'!$C$4:$C$281,'F0 - Données générales'!$K$31,'F3 - Relevé du personnel'!$B$4:$B$281,"9.1")</f>
        <v>0</v>
      </c>
      <c r="AB155" s="256">
        <f>SUMIFS('F3 - Relevé du personnel'!$M$4:$M$281,'F3 - Relevé du personnel'!$D$4:$D$281,$V155,'F3 - Relevé du personnel'!$C$4:$C$281,'F0 - Données générales'!$K$31,'F3 - Relevé du personnel'!$B$4:$B$281,"9.1")</f>
        <v>0</v>
      </c>
      <c r="AC155" s="196">
        <f t="shared" si="96"/>
        <v>0</v>
      </c>
      <c r="AD155" s="256">
        <f>SUMIFS('F3 - Relevé du personnel'!$O$4:$O$281,'F3 - Relevé du personnel'!$D$4:$D$281,$V155,'F3 - Relevé du personnel'!$C$4:$C$281,'F0 - Données générales'!$K$31,'F3 - Relevé du personnel'!$B$4:$B$281,"9.1")</f>
        <v>0</v>
      </c>
      <c r="AE155" s="256">
        <f>SUMIFS('F3 - Relevé du personnel'!$P$4:$P$281,'F3 - Relevé du personnel'!$D$4:$D$281,$V155,'F3 - Relevé du personnel'!$C$4:$C$281,'F0 - Données générales'!$K$31,'F3 - Relevé du personnel'!$B$4:$B$281,"9.1")</f>
        <v>0</v>
      </c>
      <c r="AF155" s="256">
        <f>SUMIFS('F3 - Relevé du personnel'!$Q$4:$Q$281,'F3 - Relevé du personnel'!$D$4:$D$281,$V155,'F3 - Relevé du personnel'!$C$4:$C$281,'F0 - Données générales'!$K$31,'F3 - Relevé du personnel'!$B$4:$B$281,"9.1")</f>
        <v>0</v>
      </c>
      <c r="AG155" s="182">
        <f t="shared" si="97"/>
        <v>0</v>
      </c>
      <c r="AH155" s="197" t="str">
        <f t="shared" si="100"/>
        <v/>
      </c>
      <c r="AI155" s="198" t="str">
        <f>IF(Y155=0,"",(SUMPRODUCT(($D$4:$D$253=V155)*($C$4:$C$253='F0 - Données générales'!$K$31)*($E$4:$E$253)*($F$4:$F$253)*($B$4:$B$253="9.1"))+SUMPRODUCT(($D$257:$D$281=V155)*($C$257:$C$281='F0 - Données générales'!$K$31)*($B$257:$B$281="9.1")*($E$257:$E$281)*($F$257:$F$281)))/(SUMIFS('F3 - Relevé du personnel'!$E$4:$E$281,'F3 - Relevé du personnel'!$D$4:$D$281,$V155,'F3 - Relevé du personnel'!$C$4:$C$281,'F0 - Données générales'!$K$31,'F3 - Relevé du personnel'!$B$4:$B$281,"9.1")))</f>
        <v/>
      </c>
      <c r="AK155" s="742" t="s">
        <v>79</v>
      </c>
      <c r="AL155" s="742"/>
      <c r="AM155" s="26" t="s">
        <v>90</v>
      </c>
      <c r="AN155" s="741" t="s">
        <v>91</v>
      </c>
      <c r="AO155" s="741"/>
      <c r="AP155" s="181">
        <f>SUMIFS('F3 - Relevé du personnel'!$E$4:$E$281,'F3 - Relevé du personnel'!$D$4:$D$281,$AM155,'F3 - Relevé du personnel'!$C$4:$C$281,'F0 - Données générales'!$K$31,'F3 - Relevé du personnel'!$B$4:$B$281,"Petit groupe")</f>
        <v>0</v>
      </c>
      <c r="AQ155" s="181">
        <f>SUMIFS('F3 - Relevé du personnel'!$H$4:$H$281,'F3 - Relevé du personnel'!$D$4:$D$281,$AM155,'F3 - Relevé du personnel'!$C$4:$C$281,'F0 - Données générales'!$K$31,'F3 - Relevé du personnel'!$B$4:$B$281,"Petit groupe")</f>
        <v>0</v>
      </c>
      <c r="AR155" s="256">
        <f>SUMIFS('F3 - Relevé du personnel'!$I$4:$I$281,'F3 - Relevé du personnel'!$D$4:$D$281,$AM155,'F3 - Relevé du personnel'!$C$4:$C$281,'F0 - Données générales'!$K$31,'F3 - Relevé du personnel'!$B$4:$B$281,"Petit groupe")</f>
        <v>0</v>
      </c>
      <c r="AS155" s="256">
        <f>SUMIFS('F3 - Relevé du personnel'!$M$4:$M$281,'F3 - Relevé du personnel'!$D$4:$D$281,$AM155,'F3 - Relevé du personnel'!$C$4:$C$281,'F0 - Données générales'!$K$31,'F3 - Relevé du personnel'!$B$4:$B$281,"Petit groupe")</f>
        <v>0</v>
      </c>
      <c r="AT155" s="196">
        <f t="shared" si="98"/>
        <v>0</v>
      </c>
      <c r="AU155" s="256">
        <f>SUMIFS('F3 - Relevé du personnel'!$O$4:$O$281,'F3 - Relevé du personnel'!$D$4:$D$281,$AM155,'F3 - Relevé du personnel'!$C$4:$C$281,'F0 - Données générales'!$K$31,'F3 - Relevé du personnel'!$B$4:$B$281,"Petit groupe")</f>
        <v>0</v>
      </c>
      <c r="AV155" s="256">
        <f>SUMIFS('F3 - Relevé du personnel'!$P$4:$P$281,'F3 - Relevé du personnel'!$D$4:$D$281,$AM155,'F3 - Relevé du personnel'!$C$4:$C$281,'F0 - Données générales'!$K$31,'F3 - Relevé du personnel'!$B$4:$B$281,"Petit groupe")</f>
        <v>0</v>
      </c>
      <c r="AW155" s="256">
        <f>SUMIFS('F3 - Relevé du personnel'!$Q$4:$Q$281,'F3 - Relevé du personnel'!$D$4:$D$281,$AM155,'F3 - Relevé du personnel'!$C$4:$C$281,'F0 - Données générales'!$K$31,'F3 - Relevé du personnel'!$B$4:$B$281,"Petit groupe")</f>
        <v>0</v>
      </c>
      <c r="AX155" s="182">
        <f t="shared" si="103"/>
        <v>0</v>
      </c>
      <c r="AY155" s="197" t="str">
        <f>IF(AP155=0,"",(AX155)/AP155)</f>
        <v/>
      </c>
      <c r="AZ155" s="198" t="str">
        <f>IF(AP155=0,"",(SUMPRODUCT(($D$4:$D$253=AM155)*($C$4:$C$253='F0 - Données générales'!$K$31)*($E$4:$E$253)*($F$4:$F$253)*($B$4:$B$253="0-3 ans"))+SUMPRODUCT(($D$257:$D$281=AM155)*($C$257:$C$281='F0 - Données générales'!$K$31)*($B$257:$B$281="0-3 ans")*($E$257:$E$281)*($F$257:$F$281)))/(SUMIFS('F3 - Relevé du personnel'!$E$4:$E$281,'F3 - Relevé du personnel'!$D$4:$D$281,$AM155,'F3 - Relevé du personnel'!$C$4:$C$281,'F0 - Données générales'!$K$31,'F3 - Relevé du personnel'!$B$4:$B$281,"0-3 ans")))</f>
        <v/>
      </c>
      <c r="BS155" s="14"/>
      <c r="BT155" s="14"/>
      <c r="BU155" s="132"/>
      <c r="BV155" s="14"/>
    </row>
    <row r="156" spans="1:74" ht="15" customHeight="1" x14ac:dyDescent="0.3">
      <c r="A156" s="106">
        <v>153</v>
      </c>
      <c r="B156" s="324">
        <f>'F0 - Données générales'!$C$4</f>
        <v>7</v>
      </c>
      <c r="C156" s="106" t="s">
        <v>95</v>
      </c>
      <c r="D156" s="106"/>
      <c r="E156" s="107"/>
      <c r="F156" s="108"/>
      <c r="G156" s="109"/>
      <c r="H156" s="110">
        <f t="shared" si="90"/>
        <v>0</v>
      </c>
      <c r="I156" s="177"/>
      <c r="J156" s="118" t="str">
        <f>IF(OR(D156="",F156=""),"",(((HLOOKUP(D156,'Carrières et points'!$A$20:$AD$60,F156+2,FALSE)*'Carrières et points'!$C$7*'Carrières et points'!$C$9)+(HLOOKUP(D156,'Carrières et points'!$A$20:$AD$60,F156+2,FALSE)*'Carrières et points'!$C$13*'Carrières et points'!$C$15))*(1+'F0 - Données générales'!$I$4)+((HLOOKUP(D156,'Carrières et points'!$A$20:$AD$60,F156+2,FALSE)*'Carrières et points'!$C$7*'Carrières et points'!$C$9)+(HLOOKUP(D156,'Carrières et points'!$A$20:$AD$60,F156+2,FALSE)*'Carrières et points'!$C$13*'Carrières et points'!$C$15))/12*(1+'F0 - Données générales'!$L$13))*E156)</f>
        <v/>
      </c>
      <c r="K156" s="118" t="str">
        <f t="shared" si="91"/>
        <v/>
      </c>
      <c r="L156" s="109"/>
      <c r="M156" s="177"/>
      <c r="N156" s="118" t="str">
        <f t="shared" si="92"/>
        <v/>
      </c>
      <c r="O156" s="177"/>
      <c r="P156" s="177"/>
      <c r="Q156" s="177"/>
      <c r="R156" s="255" t="str">
        <f t="shared" si="93"/>
        <v/>
      </c>
      <c r="S156" s="120"/>
      <c r="T156" s="743"/>
      <c r="U156" s="743"/>
      <c r="V156" s="749" t="s">
        <v>166</v>
      </c>
      <c r="W156" s="749"/>
      <c r="X156" s="749"/>
      <c r="Y156" s="199">
        <f>SUM(Y150:Y155)</f>
        <v>0</v>
      </c>
      <c r="Z156" s="199">
        <f>SUM(Z150:Z155)</f>
        <v>0</v>
      </c>
      <c r="AA156" s="200">
        <f>SUM(AA150:AA155)</f>
        <v>0</v>
      </c>
      <c r="AB156" s="200">
        <f>SUM(AB150:AB155)</f>
        <v>0</v>
      </c>
      <c r="AC156" s="200">
        <f t="shared" si="96"/>
        <v>0</v>
      </c>
      <c r="AD156" s="200">
        <f>SUM(AD150:AD155)</f>
        <v>0</v>
      </c>
      <c r="AE156" s="200">
        <f>SUM(AE150:AE155)</f>
        <v>0</v>
      </c>
      <c r="AF156" s="200">
        <f>SUM(AF150:AF155)</f>
        <v>0</v>
      </c>
      <c r="AG156" s="201">
        <f t="shared" si="97"/>
        <v>0</v>
      </c>
      <c r="AH156" s="201" t="str">
        <f t="shared" si="100"/>
        <v/>
      </c>
      <c r="AI156" s="202"/>
      <c r="AK156" s="743"/>
      <c r="AL156" s="743"/>
      <c r="AM156" s="749" t="s">
        <v>166</v>
      </c>
      <c r="AN156" s="749"/>
      <c r="AO156" s="749"/>
      <c r="AP156" s="199">
        <f>SUM(AP150:AP155)</f>
        <v>0</v>
      </c>
      <c r="AQ156" s="199">
        <f>SUM(AQ150:AQ155)</f>
        <v>0</v>
      </c>
      <c r="AR156" s="200">
        <f>SUM(AR150:AR155)</f>
        <v>0</v>
      </c>
      <c r="AS156" s="200">
        <f>SUM(AS150:AS155)</f>
        <v>0</v>
      </c>
      <c r="AT156" s="200">
        <f t="shared" si="98"/>
        <v>0</v>
      </c>
      <c r="AU156" s="200">
        <f>SUM(AU150:AU155)</f>
        <v>0</v>
      </c>
      <c r="AV156" s="200">
        <f>SUM(AV150:AV155)</f>
        <v>0</v>
      </c>
      <c r="AW156" s="200">
        <f>SUM(AW150:AW155)</f>
        <v>0</v>
      </c>
      <c r="AX156" s="201">
        <f>AR156+AS156-SUM(AU156:AW156)</f>
        <v>0</v>
      </c>
      <c r="AY156" s="201" t="str">
        <f>IF(AP156=0,"",(AX156)/AP156)</f>
        <v/>
      </c>
      <c r="AZ156" s="202"/>
      <c r="BS156" s="132"/>
      <c r="BT156" s="132"/>
      <c r="BU156" s="14"/>
      <c r="BV156" s="14"/>
    </row>
    <row r="157" spans="1:74" ht="15" customHeight="1" x14ac:dyDescent="0.3">
      <c r="A157" s="106">
        <v>154</v>
      </c>
      <c r="B157" s="324">
        <f>'F0 - Données générales'!$C$4</f>
        <v>7</v>
      </c>
      <c r="C157" s="106" t="s">
        <v>95</v>
      </c>
      <c r="D157" s="106"/>
      <c r="E157" s="107"/>
      <c r="F157" s="108"/>
      <c r="G157" s="109"/>
      <c r="H157" s="110">
        <f t="shared" si="90"/>
        <v>0</v>
      </c>
      <c r="I157" s="177"/>
      <c r="J157" s="118" t="str">
        <f>IF(OR(D157="",F157=""),"",(((HLOOKUP(D157,'Carrières et points'!$A$20:$AD$60,F157+2,FALSE)*'Carrières et points'!$C$7*'Carrières et points'!$C$9)+(HLOOKUP(D157,'Carrières et points'!$A$20:$AD$60,F157+2,FALSE)*'Carrières et points'!$C$13*'Carrières et points'!$C$15))*(1+'F0 - Données générales'!$I$4)+((HLOOKUP(D157,'Carrières et points'!$A$20:$AD$60,F157+2,FALSE)*'Carrières et points'!$C$7*'Carrières et points'!$C$9)+(HLOOKUP(D157,'Carrières et points'!$A$20:$AD$60,F157+2,FALSE)*'Carrières et points'!$C$13*'Carrières et points'!$C$15))/12*(1+'F0 - Données générales'!$L$13))*E157)</f>
        <v/>
      </c>
      <c r="K157" s="118" t="str">
        <f t="shared" si="91"/>
        <v/>
      </c>
      <c r="L157" s="109"/>
      <c r="M157" s="177"/>
      <c r="N157" s="118" t="str">
        <f t="shared" si="92"/>
        <v/>
      </c>
      <c r="O157" s="177"/>
      <c r="P157" s="177"/>
      <c r="Q157" s="177"/>
      <c r="R157" s="255" t="str">
        <f t="shared" si="93"/>
        <v/>
      </c>
      <c r="S157" s="120"/>
      <c r="T157" s="742" t="s">
        <v>79</v>
      </c>
      <c r="U157" s="742"/>
      <c r="V157" s="26" t="s">
        <v>92</v>
      </c>
      <c r="W157" s="741" t="s">
        <v>93</v>
      </c>
      <c r="X157" s="741"/>
      <c r="Y157" s="181">
        <f>SUMIFS('F3 - Relevé du personnel'!$E$4:$E$281,'F3 - Relevé du personnel'!$D$4:$D$281,$V157,'F3 - Relevé du personnel'!$C$4:$C$281,'F0 - Données générales'!$K$31,'F3 - Relevé du personnel'!$B$4:$B$281,"9.1")</f>
        <v>0</v>
      </c>
      <c r="Z157" s="181">
        <f>SUMIFS('F3 - Relevé du personnel'!$H$4:$H$281,'F3 - Relevé du personnel'!$D$4:$D$281,$V157,'F3 - Relevé du personnel'!$C$4:$C$281,'F0 - Données générales'!$K$31,'F3 - Relevé du personnel'!$B$4:$B$281,"9.1")</f>
        <v>0</v>
      </c>
      <c r="AA157" s="256">
        <f>SUMIFS('F3 - Relevé du personnel'!$I$4:$I$281,'F3 - Relevé du personnel'!$D$4:$D$281,$V157,'F3 - Relevé du personnel'!$C$4:$C$281,'F0 - Données générales'!$K$31,'F3 - Relevé du personnel'!$B$4:$B$281,"9.1")</f>
        <v>0</v>
      </c>
      <c r="AB157" s="256">
        <f>SUMIFS('F3 - Relevé du personnel'!$M$4:$M$281,'F3 - Relevé du personnel'!$D$4:$D$281,$V157,'F3 - Relevé du personnel'!$C$4:$C$281,'F0 - Données générales'!$K$31,'F3 - Relevé du personnel'!$B$4:$B$281,"9.1")</f>
        <v>0</v>
      </c>
      <c r="AC157" s="196">
        <f t="shared" si="96"/>
        <v>0</v>
      </c>
      <c r="AD157" s="256">
        <f>SUMIFS('F3 - Relevé du personnel'!$O$4:$O$281,'F3 - Relevé du personnel'!$D$4:$D$281,$V157,'F3 - Relevé du personnel'!$C$4:$C$281,'F0 - Données générales'!$K$31,'F3 - Relevé du personnel'!$B$4:$B$281,"9.1")</f>
        <v>0</v>
      </c>
      <c r="AE157" s="256">
        <f>SUMIFS('F3 - Relevé du personnel'!$P$4:$P$281,'F3 - Relevé du personnel'!$D$4:$D$281,$V157,'F3 - Relevé du personnel'!$C$4:$C$281,'F0 - Données générales'!$K$31,'F3 - Relevé du personnel'!$B$4:$B$281,"9.1")</f>
        <v>0</v>
      </c>
      <c r="AF157" s="256">
        <f>SUMIFS('F3 - Relevé du personnel'!$Q$4:$Q$281,'F3 - Relevé du personnel'!$D$4:$D$281,$V157,'F3 - Relevé du personnel'!$C$4:$C$281,'F0 - Données générales'!$K$31,'F3 - Relevé du personnel'!$B$4:$B$281,"9.1")</f>
        <v>0</v>
      </c>
      <c r="AG157" s="182">
        <f t="shared" si="97"/>
        <v>0</v>
      </c>
      <c r="AH157" s="197" t="str">
        <f>IF(Y157=0,"",(AG157)/Y157)</f>
        <v/>
      </c>
      <c r="AI157" s="198" t="str">
        <f>IF(Y157=0,"",(SUMPRODUCT(($D$4:$D$253=V157)*($C$4:$C$253='F0 - Données générales'!$K$31)*($E$4:$E$253)*($F$4:$F$253)*($B$4:$B$253="9.1"))+SUMPRODUCT(($D$257:$D$281=V157)*($C$257:$C$281='F0 - Données générales'!$K$31)*($B$257:$B$281="9.1")*($E$257:$E$281)*($F$257:$F$281)))/(SUMIFS('F3 - Relevé du personnel'!$E$4:$E$281,'F3 - Relevé du personnel'!$D$4:$D$281,$V157,'F3 - Relevé du personnel'!$C$4:$C$281,'F0 - Données générales'!$K$31,'F3 - Relevé du personnel'!$B$4:$B$281,"9.1")))</f>
        <v/>
      </c>
      <c r="AK157" s="742" t="s">
        <v>79</v>
      </c>
      <c r="AL157" s="742"/>
      <c r="AM157" s="26" t="s">
        <v>92</v>
      </c>
      <c r="AN157" s="741" t="s">
        <v>93</v>
      </c>
      <c r="AO157" s="741"/>
      <c r="AP157" s="181">
        <f>SUMIFS('F3 - Relevé du personnel'!$E$4:$E$281,'F3 - Relevé du personnel'!$D$4:$D$281,$AM157,'F3 - Relevé du personnel'!$C$4:$C$281,'F0 - Données générales'!$K$31,'F3 - Relevé du personnel'!$B$4:$B$281,"Petit groupe")</f>
        <v>0</v>
      </c>
      <c r="AQ157" s="181">
        <f>SUMIFS('F3 - Relevé du personnel'!$H$4:$H$281,'F3 - Relevé du personnel'!$D$4:$D$281,$AM157,'F3 - Relevé du personnel'!$C$4:$C$281,'F0 - Données générales'!$K$31,'F3 - Relevé du personnel'!$B$4:$B$281,"Petit groupe")</f>
        <v>0</v>
      </c>
      <c r="AR157" s="256">
        <f>SUMIFS('F3 - Relevé du personnel'!$I$4:$I$281,'F3 - Relevé du personnel'!$D$4:$D$281,$AM157,'F3 - Relevé du personnel'!$C$4:$C$281,'F0 - Données générales'!$K$31,'F3 - Relevé du personnel'!$B$4:$B$281,"Petit groupe")</f>
        <v>0</v>
      </c>
      <c r="AS157" s="256">
        <f>SUMIFS('F3 - Relevé du personnel'!$M$4:$M$281,'F3 - Relevé du personnel'!$D$4:$D$281,$AM157,'F3 - Relevé du personnel'!$C$4:$C$281,'F0 - Données générales'!$K$31,'F3 - Relevé du personnel'!$B$4:$B$281,"Petit groupe")</f>
        <v>0</v>
      </c>
      <c r="AT157" s="196">
        <f t="shared" si="98"/>
        <v>0</v>
      </c>
      <c r="AU157" s="256">
        <f>SUMIFS('F3 - Relevé du personnel'!$O$4:$O$281,'F3 - Relevé du personnel'!$D$4:$D$281,$AM157,'F3 - Relevé du personnel'!$C$4:$C$281,'F0 - Données générales'!$K$31,'F3 - Relevé du personnel'!$B$4:$B$281,"Petit groupe")</f>
        <v>0</v>
      </c>
      <c r="AV157" s="256">
        <f>SUMIFS('F3 - Relevé du personnel'!$P$4:$P$281,'F3 - Relevé du personnel'!$D$4:$D$281,$AM157,'F3 - Relevé du personnel'!$C$4:$C$281,'F0 - Données générales'!$K$31,'F3 - Relevé du personnel'!$B$4:$B$281,"Petit groupe")</f>
        <v>0</v>
      </c>
      <c r="AW157" s="256">
        <f>SUMIFS('F3 - Relevé du personnel'!$Q$4:$Q$281,'F3 - Relevé du personnel'!$D$4:$D$281,$AM157,'F3 - Relevé du personnel'!$C$4:$C$281,'F0 - Données générales'!$K$31,'F3 - Relevé du personnel'!$B$4:$B$281,"Petit groupe")</f>
        <v>0</v>
      </c>
      <c r="AX157" s="182">
        <f>AR157+AS157-SUM(AU157:AW157)</f>
        <v>0</v>
      </c>
      <c r="AY157" s="197" t="str">
        <f>IF(AP157=0,"",(AX157)/AP157)</f>
        <v/>
      </c>
      <c r="AZ157" s="198" t="str">
        <f>IF(AP157=0,"",(SUMPRODUCT(($D$4:$D$253=AM157)*($C$4:$C$253='F0 - Données générales'!$K$31)*($E$4:$E$253)*($F$4:$F$253)*($B$4:$B$253="0-3 ans"))+SUMPRODUCT(($D$257:$D$281=AM157)*($C$257:$C$281='F0 - Données générales'!$K$31)*($B$257:$B$281="0-3 ans")*($E$257:$E$281)*($F$257:$F$281)))/(SUMIFS('F3 - Relevé du personnel'!$E$4:$E$281,'F3 - Relevé du personnel'!$D$4:$D$281,$AM157,'F3 - Relevé du personnel'!$C$4:$C$281,'F0 - Données générales'!$K$31,'F3 - Relevé du personnel'!$B$4:$B$281,"0-3 ans")))</f>
        <v/>
      </c>
      <c r="BS157" s="14"/>
      <c r="BT157" s="14"/>
      <c r="BU157" s="132"/>
      <c r="BV157" s="14"/>
    </row>
    <row r="158" spans="1:74" ht="15" customHeight="1" x14ac:dyDescent="0.3">
      <c r="A158" s="106">
        <v>155</v>
      </c>
      <c r="B158" s="324">
        <f>'F0 - Données générales'!$C$4</f>
        <v>7</v>
      </c>
      <c r="C158" s="106" t="s">
        <v>95</v>
      </c>
      <c r="D158" s="106"/>
      <c r="E158" s="107"/>
      <c r="F158" s="108"/>
      <c r="G158" s="109"/>
      <c r="H158" s="110">
        <f t="shared" si="90"/>
        <v>0</v>
      </c>
      <c r="I158" s="177"/>
      <c r="J158" s="118" t="str">
        <f>IF(OR(D158="",F158=""),"",(((HLOOKUP(D158,'Carrières et points'!$A$20:$AD$60,F158+2,FALSE)*'Carrières et points'!$C$7*'Carrières et points'!$C$9)+(HLOOKUP(D158,'Carrières et points'!$A$20:$AD$60,F158+2,FALSE)*'Carrières et points'!$C$13*'Carrières et points'!$C$15))*(1+'F0 - Données générales'!$I$4)+((HLOOKUP(D158,'Carrières et points'!$A$20:$AD$60,F158+2,FALSE)*'Carrières et points'!$C$7*'Carrières et points'!$C$9)+(HLOOKUP(D158,'Carrières et points'!$A$20:$AD$60,F158+2,FALSE)*'Carrières et points'!$C$13*'Carrières et points'!$C$15))/12*(1+'F0 - Données générales'!$L$13))*E158)</f>
        <v/>
      </c>
      <c r="K158" s="118" t="str">
        <f t="shared" si="91"/>
        <v/>
      </c>
      <c r="L158" s="109"/>
      <c r="M158" s="177"/>
      <c r="N158" s="118" t="str">
        <f t="shared" si="92"/>
        <v/>
      </c>
      <c r="O158" s="177"/>
      <c r="P158" s="177"/>
      <c r="Q158" s="177"/>
      <c r="R158" s="255" t="str">
        <f t="shared" si="93"/>
        <v/>
      </c>
      <c r="S158" s="120"/>
      <c r="T158" s="743"/>
      <c r="U158" s="743"/>
      <c r="V158" s="749" t="s">
        <v>167</v>
      </c>
      <c r="W158" s="749"/>
      <c r="X158" s="749"/>
      <c r="Y158" s="199">
        <f>SUM(Y157:Y157)</f>
        <v>0</v>
      </c>
      <c r="Z158" s="199">
        <f>SUM(Z157:Z157)</f>
        <v>0</v>
      </c>
      <c r="AA158" s="200">
        <f>SUM(AA157:AA157)</f>
        <v>0</v>
      </c>
      <c r="AB158" s="200">
        <f>SUM(AB157:AB157)</f>
        <v>0</v>
      </c>
      <c r="AC158" s="200">
        <f t="shared" si="96"/>
        <v>0</v>
      </c>
      <c r="AD158" s="200">
        <f>SUM(AD157:AD157)</f>
        <v>0</v>
      </c>
      <c r="AE158" s="200">
        <f>SUM(AE157:AE157)</f>
        <v>0</v>
      </c>
      <c r="AF158" s="200">
        <f>SUM(AF157:AF157)</f>
        <v>0</v>
      </c>
      <c r="AG158" s="201">
        <f t="shared" si="97"/>
        <v>0</v>
      </c>
      <c r="AH158" s="201" t="str">
        <f t="shared" ref="AH158:AH170" si="105">IF(Y158=0,"",(AG158)/Y158)</f>
        <v/>
      </c>
      <c r="AI158" s="202"/>
      <c r="AK158" s="743"/>
      <c r="AL158" s="743"/>
      <c r="AM158" s="749" t="s">
        <v>167</v>
      </c>
      <c r="AN158" s="749"/>
      <c r="AO158" s="749"/>
      <c r="AP158" s="199">
        <f>SUM(AP157:AP157)</f>
        <v>0</v>
      </c>
      <c r="AQ158" s="199">
        <f>SUM(AQ157:AQ157)</f>
        <v>0</v>
      </c>
      <c r="AR158" s="200">
        <f>SUM(AR157:AR157)</f>
        <v>0</v>
      </c>
      <c r="AS158" s="200">
        <f>SUM(AS157:AS157)</f>
        <v>0</v>
      </c>
      <c r="AT158" s="200">
        <f t="shared" si="98"/>
        <v>0</v>
      </c>
      <c r="AU158" s="200">
        <f>SUM(AU157:AU157)</f>
        <v>0</v>
      </c>
      <c r="AV158" s="200">
        <f>SUM(AV157:AV157)</f>
        <v>0</v>
      </c>
      <c r="AW158" s="200">
        <f>SUM(AW157:AW157)</f>
        <v>0</v>
      </c>
      <c r="AX158" s="201">
        <f>AR158+AS158-SUM(AU158:AW158)</f>
        <v>0</v>
      </c>
      <c r="AY158" s="201" t="str">
        <f t="shared" ref="AY158:AY170" si="106">IF(AP158=0,"",(AX158)/AP158)</f>
        <v/>
      </c>
      <c r="AZ158" s="202"/>
      <c r="BS158" s="132"/>
      <c r="BT158" s="132"/>
      <c r="BU158" s="14"/>
      <c r="BV158" s="14"/>
    </row>
    <row r="159" spans="1:74" ht="15" customHeight="1" x14ac:dyDescent="0.3">
      <c r="A159" s="106">
        <v>156</v>
      </c>
      <c r="B159" s="324">
        <f>'F0 - Données générales'!$C$4</f>
        <v>7</v>
      </c>
      <c r="C159" s="106" t="s">
        <v>95</v>
      </c>
      <c r="D159" s="106"/>
      <c r="E159" s="107"/>
      <c r="F159" s="108"/>
      <c r="G159" s="109"/>
      <c r="H159" s="110">
        <f t="shared" si="90"/>
        <v>0</v>
      </c>
      <c r="I159" s="177"/>
      <c r="J159" s="118" t="str">
        <f>IF(OR(D159="",F159=""),"",(((HLOOKUP(D159,'Carrières et points'!$A$20:$AD$60,F159+2,FALSE)*'Carrières et points'!$C$7*'Carrières et points'!$C$9)+(HLOOKUP(D159,'Carrières et points'!$A$20:$AD$60,F159+2,FALSE)*'Carrières et points'!$C$13*'Carrières et points'!$C$15))*(1+'F0 - Données générales'!$I$4)+((HLOOKUP(D159,'Carrières et points'!$A$20:$AD$60,F159+2,FALSE)*'Carrières et points'!$C$7*'Carrières et points'!$C$9)+(HLOOKUP(D159,'Carrières et points'!$A$20:$AD$60,F159+2,FALSE)*'Carrières et points'!$C$13*'Carrières et points'!$C$15))/12*(1+'F0 - Données générales'!$L$13))*E159)</f>
        <v/>
      </c>
      <c r="K159" s="118" t="str">
        <f t="shared" si="91"/>
        <v/>
      </c>
      <c r="L159" s="109"/>
      <c r="M159" s="177"/>
      <c r="N159" s="118" t="str">
        <f t="shared" si="92"/>
        <v/>
      </c>
      <c r="O159" s="177"/>
      <c r="P159" s="177"/>
      <c r="Q159" s="177"/>
      <c r="R159" s="255" t="str">
        <f t="shared" si="93"/>
        <v/>
      </c>
      <c r="S159" s="120"/>
      <c r="T159" s="742" t="s">
        <v>79</v>
      </c>
      <c r="U159" s="742"/>
      <c r="V159" s="26" t="s">
        <v>96</v>
      </c>
      <c r="W159" s="741"/>
      <c r="X159" s="741"/>
      <c r="Y159" s="181">
        <f>SUMIFS('F3 - Relevé du personnel'!$E$4:$E$281,'F3 - Relevé du personnel'!$D$4:$D$281,$V159,'F3 - Relevé du personnel'!$C$4:$C$281,'F0 - Données générales'!$K$31,'F3 - Relevé du personnel'!$B$4:$B$281,"9.1")</f>
        <v>0</v>
      </c>
      <c r="Z159" s="181">
        <f>SUMIFS('F3 - Relevé du personnel'!$H$4:$H$281,'F3 - Relevé du personnel'!$D$4:$D$281,$V159,'F3 - Relevé du personnel'!$C$4:$C$281,'F0 - Données générales'!$K$31,'F3 - Relevé du personnel'!$B$4:$B$281,"9.1")</f>
        <v>0</v>
      </c>
      <c r="AA159" s="256">
        <f>SUMIFS('F3 - Relevé du personnel'!$I$4:$I$281,'F3 - Relevé du personnel'!$D$4:$D$281,$V159,'F3 - Relevé du personnel'!$C$4:$C$281,'F0 - Données générales'!$K$31,'F3 - Relevé du personnel'!$B$4:$B$281,"9.1")</f>
        <v>0</v>
      </c>
      <c r="AB159" s="256">
        <f>SUMIFS('F3 - Relevé du personnel'!$M$4:$M$281,'F3 - Relevé du personnel'!$D$4:$D$281,$V159,'F3 - Relevé du personnel'!$C$4:$C$281,'F0 - Données générales'!$K$31,'F3 - Relevé du personnel'!$B$4:$B$281,"9.1")</f>
        <v>0</v>
      </c>
      <c r="AC159" s="196">
        <f t="shared" si="96"/>
        <v>0</v>
      </c>
      <c r="AD159" s="256">
        <f>SUMIFS('F3 - Relevé du personnel'!$O$4:$O$281,'F3 - Relevé du personnel'!$D$4:$D$281,$V159,'F3 - Relevé du personnel'!$C$4:$C$281,'F0 - Données générales'!$K$31,'F3 - Relevé du personnel'!$B$4:$B$281,"9.1")</f>
        <v>0</v>
      </c>
      <c r="AE159" s="256">
        <f>SUMIFS('F3 - Relevé du personnel'!$P$4:$P$281,'F3 - Relevé du personnel'!$D$4:$D$281,$V159,'F3 - Relevé du personnel'!$C$4:$C$281,'F0 - Données générales'!$K$31,'F3 - Relevé du personnel'!$B$4:$B$281,"9.1")</f>
        <v>0</v>
      </c>
      <c r="AF159" s="256">
        <f>SUMIFS('F3 - Relevé du personnel'!$Q$4:$Q$281,'F3 - Relevé du personnel'!$D$4:$D$281,$V159,'F3 - Relevé du personnel'!$C$4:$C$281,'F0 - Données générales'!$K$31,'F3 - Relevé du personnel'!$B$4:$B$281,"9.1")</f>
        <v>0</v>
      </c>
      <c r="AG159" s="182">
        <f t="shared" si="97"/>
        <v>0</v>
      </c>
      <c r="AH159" s="197" t="str">
        <f t="shared" si="105"/>
        <v/>
      </c>
      <c r="AI159" s="198" t="str">
        <f>IF(Y159=0,"",(SUMPRODUCT(($D$4:$D$253=V159)*($C$4:$C$253='F0 - Données générales'!$K$31)*($E$4:$E$253)*($F$4:$F$253)*($B$4:$B$253="9.1"))+SUMPRODUCT(($D$257:$D$281=V159)*($C$257:$C$281='F0 - Données générales'!$K$31)*($B$257:$B$281="9.1")*($E$257:$E$281)*($F$257:$F$281)))/(SUMIFS('F3 - Relevé du personnel'!$E$4:$E$281,'F3 - Relevé du personnel'!$D$4:$D$281,$V159,'F3 - Relevé du personnel'!$C$4:$C$281,'F0 - Données générales'!$K$31,'F3 - Relevé du personnel'!$B$4:$B$281,"9.1")))</f>
        <v/>
      </c>
      <c r="AK159" s="742" t="s">
        <v>79</v>
      </c>
      <c r="AL159" s="742"/>
      <c r="AM159" s="26" t="s">
        <v>96</v>
      </c>
      <c r="AN159" s="741"/>
      <c r="AO159" s="741"/>
      <c r="AP159" s="181">
        <f>SUMIFS('F3 - Relevé du personnel'!$E$4:$E$281,'F3 - Relevé du personnel'!$D$4:$D$281,$AM159,'F3 - Relevé du personnel'!$C$4:$C$281,'F0 - Données générales'!$K$31,'F3 - Relevé du personnel'!$B$4:$B$281,"Petit groupe")</f>
        <v>0</v>
      </c>
      <c r="AQ159" s="181">
        <f>SUMIFS('F3 - Relevé du personnel'!$H$4:$H$281,'F3 - Relevé du personnel'!$D$4:$D$281,$AM159,'F3 - Relevé du personnel'!$C$4:$C$281,'F0 - Données générales'!$K$31,'F3 - Relevé du personnel'!$B$4:$B$281,"Petit groupe")</f>
        <v>0</v>
      </c>
      <c r="AR159" s="256">
        <f>SUMIFS('F3 - Relevé du personnel'!$I$4:$I$281,'F3 - Relevé du personnel'!$D$4:$D$281,$AM159,'F3 - Relevé du personnel'!$C$4:$C$281,'F0 - Données générales'!$K$31,'F3 - Relevé du personnel'!$B$4:$B$281,"Petit groupe")</f>
        <v>0</v>
      </c>
      <c r="AS159" s="256">
        <f>SUMIFS('F3 - Relevé du personnel'!$M$4:$M$281,'F3 - Relevé du personnel'!$D$4:$D$281,$AM159,'F3 - Relevé du personnel'!$C$4:$C$281,'F0 - Données générales'!$K$31,'F3 - Relevé du personnel'!$B$4:$B$281,"Petit groupe")</f>
        <v>0</v>
      </c>
      <c r="AT159" s="196">
        <f t="shared" si="98"/>
        <v>0</v>
      </c>
      <c r="AU159" s="256">
        <f>SUMIFS('F3 - Relevé du personnel'!$O$4:$O$281,'F3 - Relevé du personnel'!$D$4:$D$281,$AM159,'F3 - Relevé du personnel'!$C$4:$C$281,'F0 - Données générales'!$K$31,'F3 - Relevé du personnel'!$B$4:$B$281,"Petit groupe")</f>
        <v>0</v>
      </c>
      <c r="AV159" s="256">
        <f>SUMIFS('F3 - Relevé du personnel'!$P$4:$P$281,'F3 - Relevé du personnel'!$D$4:$D$281,$AM159,'F3 - Relevé du personnel'!$C$4:$C$281,'F0 - Données générales'!$K$31,'F3 - Relevé du personnel'!$B$4:$B$281,"Petit groupe")</f>
        <v>0</v>
      </c>
      <c r="AW159" s="256">
        <f>SUMIFS('F3 - Relevé du personnel'!$Q$4:$Q$281,'F3 - Relevé du personnel'!$D$4:$D$281,$AM159,'F3 - Relevé du personnel'!$C$4:$C$281,'F0 - Données générales'!$K$31,'F3 - Relevé du personnel'!$B$4:$B$281,"Petit groupe")</f>
        <v>0</v>
      </c>
      <c r="AX159" s="182">
        <f t="shared" ref="AX159:AX168" si="107">AR159+AS159-SUM(AU159:AW159)</f>
        <v>0</v>
      </c>
      <c r="AY159" s="197" t="str">
        <f t="shared" si="106"/>
        <v/>
      </c>
      <c r="AZ159" s="198" t="str">
        <f>IF(AP159=0,"",(SUMPRODUCT(($D$4:$D$253=AM159)*($C$4:$C$253='F0 - Données générales'!$K$31)*($E$4:$E$253)*($F$4:$F$253)*($B$4:$B$253="0-3 ans"))+SUMPRODUCT(($D$257:$D$281=AM159)*($C$257:$C$281='F0 - Données générales'!$K$31)*($B$257:$B$281="0-3 ans")*($E$257:$E$281)*($F$257:$F$281)))/(SUMIFS('F3 - Relevé du personnel'!$E$4:$E$281,'F3 - Relevé du personnel'!$D$4:$D$281,$AM159,'F3 - Relevé du personnel'!$C$4:$C$281,'F0 - Données générales'!$K$31,'F3 - Relevé du personnel'!$B$4:$B$281,"0-3 ans")))</f>
        <v/>
      </c>
      <c r="BS159" s="14"/>
      <c r="BT159" s="14"/>
      <c r="BV159" s="14"/>
    </row>
    <row r="160" spans="1:74" ht="15" customHeight="1" x14ac:dyDescent="0.3">
      <c r="A160" s="106">
        <v>157</v>
      </c>
      <c r="B160" s="324">
        <f>'F0 - Données générales'!$C$4</f>
        <v>7</v>
      </c>
      <c r="C160" s="106" t="s">
        <v>95</v>
      </c>
      <c r="D160" s="106"/>
      <c r="E160" s="107"/>
      <c r="F160" s="108"/>
      <c r="G160" s="109"/>
      <c r="H160" s="110">
        <f t="shared" si="90"/>
        <v>0</v>
      </c>
      <c r="I160" s="177"/>
      <c r="J160" s="118" t="str">
        <f>IF(OR(D160="",F160=""),"",(((HLOOKUP(D160,'Carrières et points'!$A$20:$AD$60,F160+2,FALSE)*'Carrières et points'!$C$7*'Carrières et points'!$C$9)+(HLOOKUP(D160,'Carrières et points'!$A$20:$AD$60,F160+2,FALSE)*'Carrières et points'!$C$13*'Carrières et points'!$C$15))*(1+'F0 - Données générales'!$I$4)+((HLOOKUP(D160,'Carrières et points'!$A$20:$AD$60,F160+2,FALSE)*'Carrières et points'!$C$7*'Carrières et points'!$C$9)+(HLOOKUP(D160,'Carrières et points'!$A$20:$AD$60,F160+2,FALSE)*'Carrières et points'!$C$13*'Carrières et points'!$C$15))/12*(1+'F0 - Données générales'!$L$13))*E160)</f>
        <v/>
      </c>
      <c r="K160" s="118" t="str">
        <f t="shared" si="91"/>
        <v/>
      </c>
      <c r="L160" s="109"/>
      <c r="M160" s="177"/>
      <c r="N160" s="118" t="str">
        <f t="shared" si="92"/>
        <v/>
      </c>
      <c r="O160" s="177"/>
      <c r="P160" s="177"/>
      <c r="Q160" s="177"/>
      <c r="R160" s="255" t="str">
        <f t="shared" si="93"/>
        <v/>
      </c>
      <c r="S160" s="120"/>
      <c r="T160" s="742" t="s">
        <v>79</v>
      </c>
      <c r="U160" s="742"/>
      <c r="V160" s="26" t="s">
        <v>277</v>
      </c>
      <c r="W160" s="741"/>
      <c r="X160" s="741"/>
      <c r="Y160" s="181">
        <f>SUMIFS('F3 - Relevé du personnel'!$E$4:$E$281,'F3 - Relevé du personnel'!$D$4:$D$281,$V160,'F3 - Relevé du personnel'!$C$4:$C$281,'F0 - Données générales'!$K$31,'F3 - Relevé du personnel'!$B$4:$B$281,"9.1")</f>
        <v>0</v>
      </c>
      <c r="Z160" s="181">
        <f>SUMIFS('F3 - Relevé du personnel'!$H$4:$H$281,'F3 - Relevé du personnel'!$D$4:$D$281,$V160,'F3 - Relevé du personnel'!$C$4:$C$281,'F0 - Données générales'!$K$31,'F3 - Relevé du personnel'!$B$4:$B$281,"9.1")</f>
        <v>0</v>
      </c>
      <c r="AA160" s="256">
        <f>SUMIFS('F3 - Relevé du personnel'!$I$4:$I$281,'F3 - Relevé du personnel'!$D$4:$D$281,$V160,'F3 - Relevé du personnel'!$C$4:$C$281,'F0 - Données générales'!$K$31,'F3 - Relevé du personnel'!$B$4:$B$281,"9.1")</f>
        <v>0</v>
      </c>
      <c r="AB160" s="256">
        <f>SUMIFS('F3 - Relevé du personnel'!$M$4:$M$281,'F3 - Relevé du personnel'!$D$4:$D$281,$V160,'F3 - Relevé du personnel'!$C$4:$C$281,'F0 - Données générales'!$K$31,'F3 - Relevé du personnel'!$B$4:$B$281,"9.1")</f>
        <v>0</v>
      </c>
      <c r="AC160" s="196">
        <f t="shared" si="96"/>
        <v>0</v>
      </c>
      <c r="AD160" s="256">
        <f>SUMIFS('F3 - Relevé du personnel'!$O$4:$O$281,'F3 - Relevé du personnel'!$D$4:$D$281,$V160,'F3 - Relevé du personnel'!$C$4:$C$281,'F0 - Données générales'!$K$31,'F3 - Relevé du personnel'!$B$4:$B$281,"9.1")</f>
        <v>0</v>
      </c>
      <c r="AE160" s="256">
        <f>SUMIFS('F3 - Relevé du personnel'!$P$4:$P$281,'F3 - Relevé du personnel'!$D$4:$D$281,$V160,'F3 - Relevé du personnel'!$C$4:$C$281,'F0 - Données générales'!$K$31,'F3 - Relevé du personnel'!$B$4:$B$281,"9.1")</f>
        <v>0</v>
      </c>
      <c r="AF160" s="256">
        <f>SUMIFS('F3 - Relevé du personnel'!$Q$4:$Q$281,'F3 - Relevé du personnel'!$D$4:$D$281,$V160,'F3 - Relevé du personnel'!$C$4:$C$281,'F0 - Données générales'!$K$31,'F3 - Relevé du personnel'!$B$4:$B$281,"9.1")</f>
        <v>0</v>
      </c>
      <c r="AG160" s="182">
        <f t="shared" si="97"/>
        <v>0</v>
      </c>
      <c r="AH160" s="197" t="str">
        <f t="shared" si="105"/>
        <v/>
      </c>
      <c r="AI160" s="198" t="str">
        <f>IF(Y160=0,"",(SUMPRODUCT(($D$4:$D$253=V160)*($C$4:$C$253='F0 - Données générales'!$K$31)*($E$4:$E$253)*($F$4:$F$253)*($B$4:$B$253="9.1"))+SUMPRODUCT(($D$257:$D$281=V160)*($C$257:$C$281='F0 - Données générales'!$K$31)*($B$257:$B$281="9.1")*($E$257:$E$281)*($F$257:$F$281)))/(SUMIFS('F3 - Relevé du personnel'!$E$4:$E$281,'F3 - Relevé du personnel'!$D$4:$D$281,$V160,'F3 - Relevé du personnel'!$C$4:$C$281,'F0 - Données générales'!$K$31,'F3 - Relevé du personnel'!$B$4:$B$281,"9.1")))</f>
        <v/>
      </c>
      <c r="AK160" s="742" t="s">
        <v>79</v>
      </c>
      <c r="AL160" s="742"/>
      <c r="AM160" s="26" t="s">
        <v>277</v>
      </c>
      <c r="AN160" s="741"/>
      <c r="AO160" s="741"/>
      <c r="AP160" s="181">
        <f>SUMIFS('F3 - Relevé du personnel'!$E$4:$E$281,'F3 - Relevé du personnel'!$D$4:$D$281,$AM160,'F3 - Relevé du personnel'!$C$4:$C$281,'F0 - Données générales'!$K$31,'F3 - Relevé du personnel'!$B$4:$B$281,"Petit groupe")</f>
        <v>0</v>
      </c>
      <c r="AQ160" s="181">
        <f>SUMIFS('F3 - Relevé du personnel'!$H$4:$H$281,'F3 - Relevé du personnel'!$D$4:$D$281,$AM160,'F3 - Relevé du personnel'!$C$4:$C$281,'F0 - Données générales'!$K$31,'F3 - Relevé du personnel'!$B$4:$B$281,"Petit groupe")</f>
        <v>0</v>
      </c>
      <c r="AR160" s="256">
        <f>SUMIFS('F3 - Relevé du personnel'!$I$4:$I$281,'F3 - Relevé du personnel'!$D$4:$D$281,$AM160,'F3 - Relevé du personnel'!$C$4:$C$281,'F0 - Données générales'!$K$31,'F3 - Relevé du personnel'!$B$4:$B$281,"Petit groupe")</f>
        <v>0</v>
      </c>
      <c r="AS160" s="256">
        <f>SUMIFS('F3 - Relevé du personnel'!$M$4:$M$281,'F3 - Relevé du personnel'!$D$4:$D$281,$AM160,'F3 - Relevé du personnel'!$C$4:$C$281,'F0 - Données générales'!$K$31,'F3 - Relevé du personnel'!$B$4:$B$281,"Petit groupe")</f>
        <v>0</v>
      </c>
      <c r="AT160" s="196">
        <f t="shared" si="98"/>
        <v>0</v>
      </c>
      <c r="AU160" s="256">
        <f>SUMIFS('F3 - Relevé du personnel'!$O$4:$O$281,'F3 - Relevé du personnel'!$D$4:$D$281,$AM160,'F3 - Relevé du personnel'!$C$4:$C$281,'F0 - Données générales'!$K$31,'F3 - Relevé du personnel'!$B$4:$B$281,"Petit groupe")</f>
        <v>0</v>
      </c>
      <c r="AV160" s="256">
        <f>SUMIFS('F3 - Relevé du personnel'!$P$4:$P$281,'F3 - Relevé du personnel'!$D$4:$D$281,$AM160,'F3 - Relevé du personnel'!$C$4:$C$281,'F0 - Données générales'!$K$31,'F3 - Relevé du personnel'!$B$4:$B$281,"Petit groupe")</f>
        <v>0</v>
      </c>
      <c r="AW160" s="256">
        <f>SUMIFS('F3 - Relevé du personnel'!$Q$4:$Q$281,'F3 - Relevé du personnel'!$D$4:$D$281,$AM160,'F3 - Relevé du personnel'!$C$4:$C$281,'F0 - Données générales'!$K$31,'F3 - Relevé du personnel'!$B$4:$B$281,"Petit groupe")</f>
        <v>0</v>
      </c>
      <c r="AX160" s="182">
        <f>AR160+AS160-SUM(AU160:AW160)</f>
        <v>0</v>
      </c>
      <c r="AY160" s="197" t="str">
        <f t="shared" si="106"/>
        <v/>
      </c>
      <c r="AZ160" s="198" t="str">
        <f>IF(AP160=0,"",(SUMPRODUCT(($D$4:$D$253=AM160)*($C$4:$C$253='F0 - Données générales'!$K$31)*($E$4:$E$253)*($F$4:$F$253)*($B$4:$B$253="0-3 ans"))+SUMPRODUCT(($D$257:$D$281=AM160)*($C$257:$C$281='F0 - Données générales'!$K$31)*($B$257:$B$281="0-3 ans")*($E$257:$E$281)*($F$257:$F$281)))/(SUMIFS('F3 - Relevé du personnel'!$E$4:$E$281,'F3 - Relevé du personnel'!$D$4:$D$281,$AM160,'F3 - Relevé du personnel'!$C$4:$C$281,'F0 - Données générales'!$K$31,'F3 - Relevé du personnel'!$B$4:$B$281,"0-3 ans")))</f>
        <v/>
      </c>
      <c r="BU160" s="14"/>
      <c r="BV160" s="14"/>
    </row>
    <row r="161" spans="1:74" ht="15" customHeight="1" x14ac:dyDescent="0.3">
      <c r="A161" s="106">
        <v>158</v>
      </c>
      <c r="B161" s="324">
        <f>'F0 - Données générales'!$C$4</f>
        <v>7</v>
      </c>
      <c r="C161" s="106" t="s">
        <v>95</v>
      </c>
      <c r="D161" s="106"/>
      <c r="E161" s="107"/>
      <c r="F161" s="108"/>
      <c r="G161" s="109"/>
      <c r="H161" s="110">
        <f t="shared" si="90"/>
        <v>0</v>
      </c>
      <c r="I161" s="177"/>
      <c r="J161" s="118" t="str">
        <f>IF(OR(D161="",F161=""),"",(((HLOOKUP(D161,'Carrières et points'!$A$20:$AD$60,F161+2,FALSE)*'Carrières et points'!$C$7*'Carrières et points'!$C$9)+(HLOOKUP(D161,'Carrières et points'!$A$20:$AD$60,F161+2,FALSE)*'Carrières et points'!$C$13*'Carrières et points'!$C$15))*(1+'F0 - Données générales'!$I$4)+((HLOOKUP(D161,'Carrières et points'!$A$20:$AD$60,F161+2,FALSE)*'Carrières et points'!$C$7*'Carrières et points'!$C$9)+(HLOOKUP(D161,'Carrières et points'!$A$20:$AD$60,F161+2,FALSE)*'Carrières et points'!$C$13*'Carrières et points'!$C$15))/12*(1+'F0 - Données générales'!$L$13))*E161)</f>
        <v/>
      </c>
      <c r="K161" s="118" t="str">
        <f t="shared" si="91"/>
        <v/>
      </c>
      <c r="L161" s="109"/>
      <c r="M161" s="177"/>
      <c r="N161" s="118" t="str">
        <f t="shared" si="92"/>
        <v/>
      </c>
      <c r="O161" s="177"/>
      <c r="P161" s="177"/>
      <c r="Q161" s="177"/>
      <c r="R161" s="255" t="str">
        <f t="shared" si="93"/>
        <v/>
      </c>
      <c r="S161" s="120"/>
      <c r="T161" s="742" t="s">
        <v>65</v>
      </c>
      <c r="U161" s="742"/>
      <c r="V161" s="26" t="s">
        <v>278</v>
      </c>
      <c r="W161" s="741"/>
      <c r="X161" s="741"/>
      <c r="Y161" s="181">
        <f>SUMIFS('F3 - Relevé du personnel'!$E$4:$E$281,'F3 - Relevé du personnel'!$D$4:$D$281,$V161,'F3 - Relevé du personnel'!$C$4:$C$281,'F0 - Données générales'!$K$31,'F3 - Relevé du personnel'!$B$4:$B$281,"9.1")</f>
        <v>0</v>
      </c>
      <c r="Z161" s="181">
        <f>SUMIFS('F3 - Relevé du personnel'!$H$4:$H$281,'F3 - Relevé du personnel'!$D$4:$D$281,$V161,'F3 - Relevé du personnel'!$C$4:$C$281,'F0 - Données générales'!$K$31,'F3 - Relevé du personnel'!$B$4:$B$281,"9.1")</f>
        <v>0</v>
      </c>
      <c r="AA161" s="256">
        <f>SUMIFS('F3 - Relevé du personnel'!$I$4:$I$281,'F3 - Relevé du personnel'!$D$4:$D$281,$V161,'F3 - Relevé du personnel'!$C$4:$C$281,'F0 - Données générales'!$K$31,'F3 - Relevé du personnel'!$B$4:$B$281,"9.1")</f>
        <v>0</v>
      </c>
      <c r="AB161" s="256">
        <f>SUMIFS('F3 - Relevé du personnel'!$M$4:$M$281,'F3 - Relevé du personnel'!$D$4:$D$281,$V161,'F3 - Relevé du personnel'!$C$4:$C$281,'F0 - Données générales'!$K$31,'F3 - Relevé du personnel'!$B$4:$B$281,"9.1")</f>
        <v>0</v>
      </c>
      <c r="AC161" s="196">
        <f t="shared" si="96"/>
        <v>0</v>
      </c>
      <c r="AD161" s="256">
        <f>SUMIFS('F3 - Relevé du personnel'!$O$4:$O$281,'F3 - Relevé du personnel'!$D$4:$D$281,$V161,'F3 - Relevé du personnel'!$C$4:$C$281,'F0 - Données générales'!$K$31,'F3 - Relevé du personnel'!$B$4:$B$281,"9.1")</f>
        <v>0</v>
      </c>
      <c r="AE161" s="256">
        <f>SUMIFS('F3 - Relevé du personnel'!$P$4:$P$281,'F3 - Relevé du personnel'!$D$4:$D$281,$V161,'F3 - Relevé du personnel'!$C$4:$C$281,'F0 - Données générales'!$K$31,'F3 - Relevé du personnel'!$B$4:$B$281,"9.1")</f>
        <v>0</v>
      </c>
      <c r="AF161" s="256">
        <f>SUMIFS('F3 - Relevé du personnel'!$Q$4:$Q$281,'F3 - Relevé du personnel'!$D$4:$D$281,$V161,'F3 - Relevé du personnel'!$C$4:$C$281,'F0 - Données générales'!$K$31,'F3 - Relevé du personnel'!$B$4:$B$281,"9.1")</f>
        <v>0</v>
      </c>
      <c r="AG161" s="182">
        <f t="shared" si="97"/>
        <v>0</v>
      </c>
      <c r="AH161" s="197" t="str">
        <f t="shared" si="105"/>
        <v/>
      </c>
      <c r="AI161" s="198" t="str">
        <f>IF(Y161=0,"",(SUMPRODUCT(($D$4:$D$253=V161)*($C$4:$C$253='F0 - Données générales'!$K$31)*($E$4:$E$253)*($F$4:$F$253)*($B$4:$B$253="9.1"))+SUMPRODUCT(($D$257:$D$281=V161)*($C$257:$C$281='F0 - Données générales'!$K$31)*($B$257:$B$281="9.1")*($E$257:$E$281)*($F$257:$F$281)))/(SUMIFS('F3 - Relevé du personnel'!$E$4:$E$281,'F3 - Relevé du personnel'!$D$4:$D$281,$V161,'F3 - Relevé du personnel'!$C$4:$C$281,'F0 - Données générales'!$K$31,'F3 - Relevé du personnel'!$B$4:$B$281,"9.1")))</f>
        <v/>
      </c>
      <c r="AK161" s="742" t="s">
        <v>65</v>
      </c>
      <c r="AL161" s="742"/>
      <c r="AM161" s="26" t="s">
        <v>278</v>
      </c>
      <c r="AN161" s="741"/>
      <c r="AO161" s="741"/>
      <c r="AP161" s="181">
        <f>SUMIFS('F3 - Relevé du personnel'!$E$4:$E$281,'F3 - Relevé du personnel'!$D$4:$D$281,$AM161,'F3 - Relevé du personnel'!$C$4:$C$281,'F0 - Données générales'!$K$31,'F3 - Relevé du personnel'!$B$4:$B$281,"Petit groupe")</f>
        <v>0</v>
      </c>
      <c r="AQ161" s="181">
        <f>SUMIFS('F3 - Relevé du personnel'!$H$4:$H$281,'F3 - Relevé du personnel'!$D$4:$D$281,$AM161,'F3 - Relevé du personnel'!$C$4:$C$281,'F0 - Données générales'!$K$31,'F3 - Relevé du personnel'!$B$4:$B$281,"Petit groupe")</f>
        <v>0</v>
      </c>
      <c r="AR161" s="256">
        <f>SUMIFS('F3 - Relevé du personnel'!$I$4:$I$281,'F3 - Relevé du personnel'!$D$4:$D$281,$AM161,'F3 - Relevé du personnel'!$C$4:$C$281,'F0 - Données générales'!$K$31,'F3 - Relevé du personnel'!$B$4:$B$281,"Petit groupe")</f>
        <v>0</v>
      </c>
      <c r="AS161" s="256">
        <f>SUMIFS('F3 - Relevé du personnel'!$M$4:$M$281,'F3 - Relevé du personnel'!$D$4:$D$281,$AM161,'F3 - Relevé du personnel'!$C$4:$C$281,'F0 - Données générales'!$K$31,'F3 - Relevé du personnel'!$B$4:$B$281,"Petit groupe")</f>
        <v>0</v>
      </c>
      <c r="AT161" s="196">
        <f t="shared" si="98"/>
        <v>0</v>
      </c>
      <c r="AU161" s="256">
        <f>SUMIFS('F3 - Relevé du personnel'!$O$4:$O$281,'F3 - Relevé du personnel'!$D$4:$D$281,$AM161,'F3 - Relevé du personnel'!$C$4:$C$281,'F0 - Données générales'!$K$31,'F3 - Relevé du personnel'!$B$4:$B$281,"Petit groupe")</f>
        <v>0</v>
      </c>
      <c r="AV161" s="256">
        <f>SUMIFS('F3 - Relevé du personnel'!$P$4:$P$281,'F3 - Relevé du personnel'!$D$4:$D$281,$AM161,'F3 - Relevé du personnel'!$C$4:$C$281,'F0 - Données générales'!$K$31,'F3 - Relevé du personnel'!$B$4:$B$281,"Petit groupe")</f>
        <v>0</v>
      </c>
      <c r="AW161" s="256">
        <f>SUMIFS('F3 - Relevé du personnel'!$Q$4:$Q$281,'F3 - Relevé du personnel'!$D$4:$D$281,$AM161,'F3 - Relevé du personnel'!$C$4:$C$281,'F0 - Données générales'!$K$31,'F3 - Relevé du personnel'!$B$4:$B$281,"Petit groupe")</f>
        <v>0</v>
      </c>
      <c r="AX161" s="182">
        <f t="shared" si="107"/>
        <v>0</v>
      </c>
      <c r="AY161" s="197" t="str">
        <f t="shared" si="106"/>
        <v/>
      </c>
      <c r="AZ161" s="198" t="str">
        <f>IF(AP161=0,"",(SUMPRODUCT(($D$4:$D$253=AM161)*($C$4:$C$253='F0 - Données générales'!$K$31)*($E$4:$E$253)*($F$4:$F$253)*($B$4:$B$253="0-3 ans"))+SUMPRODUCT(($D$257:$D$281=AM161)*($C$257:$C$281='F0 - Données générales'!$K$31)*($B$257:$B$281="0-3 ans")*($E$257:$E$281)*($F$257:$F$281)))/(SUMIFS('F3 - Relevé du personnel'!$E$4:$E$281,'F3 - Relevé du personnel'!$D$4:$D$281,$AM161,'F3 - Relevé du personnel'!$C$4:$C$281,'F0 - Données générales'!$K$31,'F3 - Relevé du personnel'!$B$4:$B$281,"0-3 ans")))</f>
        <v/>
      </c>
      <c r="BS161" s="14"/>
      <c r="BT161" s="14"/>
      <c r="BU161" s="14"/>
      <c r="BV161" s="14"/>
    </row>
    <row r="162" spans="1:74" ht="15" customHeight="1" x14ac:dyDescent="0.3">
      <c r="A162" s="106">
        <v>159</v>
      </c>
      <c r="B162" s="324">
        <f>'F0 - Données générales'!$C$4</f>
        <v>7</v>
      </c>
      <c r="C162" s="106" t="s">
        <v>95</v>
      </c>
      <c r="D162" s="106"/>
      <c r="E162" s="107"/>
      <c r="F162" s="108"/>
      <c r="G162" s="109"/>
      <c r="H162" s="110">
        <f t="shared" si="90"/>
        <v>0</v>
      </c>
      <c r="I162" s="177"/>
      <c r="J162" s="118" t="str">
        <f>IF(OR(D162="",F162=""),"",(((HLOOKUP(D162,'Carrières et points'!$A$20:$AD$60,F162+2,FALSE)*'Carrières et points'!$C$7*'Carrières et points'!$C$9)+(HLOOKUP(D162,'Carrières et points'!$A$20:$AD$60,F162+2,FALSE)*'Carrières et points'!$C$13*'Carrières et points'!$C$15))*(1+'F0 - Données générales'!$I$4)+((HLOOKUP(D162,'Carrières et points'!$A$20:$AD$60,F162+2,FALSE)*'Carrières et points'!$C$7*'Carrières et points'!$C$9)+(HLOOKUP(D162,'Carrières et points'!$A$20:$AD$60,F162+2,FALSE)*'Carrières et points'!$C$13*'Carrières et points'!$C$15))/12*(1+'F0 - Données générales'!$L$13))*E162)</f>
        <v/>
      </c>
      <c r="K162" s="118" t="str">
        <f t="shared" si="91"/>
        <v/>
      </c>
      <c r="L162" s="109"/>
      <c r="M162" s="177"/>
      <c r="N162" s="118" t="str">
        <f t="shared" si="92"/>
        <v/>
      </c>
      <c r="O162" s="177"/>
      <c r="P162" s="177"/>
      <c r="Q162" s="177"/>
      <c r="R162" s="255" t="str">
        <f t="shared" si="93"/>
        <v/>
      </c>
      <c r="S162" s="120"/>
      <c r="T162" s="742" t="s">
        <v>79</v>
      </c>
      <c r="U162" s="742"/>
      <c r="V162" s="26" t="s">
        <v>279</v>
      </c>
      <c r="W162" s="741"/>
      <c r="X162" s="741"/>
      <c r="Y162" s="181">
        <f>SUMIFS('F3 - Relevé du personnel'!$E$4:$E$281,'F3 - Relevé du personnel'!$D$4:$D$281,$V162,'F3 - Relevé du personnel'!$C$4:$C$281,'F0 - Données générales'!$K$31,'F3 - Relevé du personnel'!$B$4:$B$281,"9.1")</f>
        <v>0</v>
      </c>
      <c r="Z162" s="181">
        <f>SUMIFS('F3 - Relevé du personnel'!$H$4:$H$281,'F3 - Relevé du personnel'!$D$4:$D$281,$V162,'F3 - Relevé du personnel'!$C$4:$C$281,'F0 - Données générales'!$K$31,'F3 - Relevé du personnel'!$B$4:$B$281,"9.1")</f>
        <v>0</v>
      </c>
      <c r="AA162" s="256">
        <f>SUMIFS('F3 - Relevé du personnel'!$I$4:$I$281,'F3 - Relevé du personnel'!$D$4:$D$281,$V162,'F3 - Relevé du personnel'!$C$4:$C$281,'F0 - Données générales'!$K$31,'F3 - Relevé du personnel'!$B$4:$B$281,"9.1")</f>
        <v>0</v>
      </c>
      <c r="AB162" s="256">
        <f>SUMIFS('F3 - Relevé du personnel'!$M$4:$M$281,'F3 - Relevé du personnel'!$D$4:$D$281,$V162,'F3 - Relevé du personnel'!$C$4:$C$281,'F0 - Données générales'!$K$31,'F3 - Relevé du personnel'!$B$4:$B$281,"9.1")</f>
        <v>0</v>
      </c>
      <c r="AC162" s="196">
        <f t="shared" si="96"/>
        <v>0</v>
      </c>
      <c r="AD162" s="256">
        <f>SUMIFS('F3 - Relevé du personnel'!$O$4:$O$281,'F3 - Relevé du personnel'!$D$4:$D$281,$V162,'F3 - Relevé du personnel'!$C$4:$C$281,'F0 - Données générales'!$K$31,'F3 - Relevé du personnel'!$B$4:$B$281,"9.1")</f>
        <v>0</v>
      </c>
      <c r="AE162" s="256">
        <f>SUMIFS('F3 - Relevé du personnel'!$P$4:$P$281,'F3 - Relevé du personnel'!$D$4:$D$281,$V162,'F3 - Relevé du personnel'!$C$4:$C$281,'F0 - Données générales'!$K$31,'F3 - Relevé du personnel'!$B$4:$B$281,"9.1")</f>
        <v>0</v>
      </c>
      <c r="AF162" s="256">
        <f>SUMIFS('F3 - Relevé du personnel'!$Q$4:$Q$281,'F3 - Relevé du personnel'!$D$4:$D$281,$V162,'F3 - Relevé du personnel'!$C$4:$C$281,'F0 - Données générales'!$K$31,'F3 - Relevé du personnel'!$B$4:$B$281,"9.1")</f>
        <v>0</v>
      </c>
      <c r="AG162" s="182">
        <f t="shared" si="97"/>
        <v>0</v>
      </c>
      <c r="AH162" s="197" t="str">
        <f t="shared" si="105"/>
        <v/>
      </c>
      <c r="AI162" s="198" t="str">
        <f>IF(Y162=0,"",(SUMPRODUCT(($D$4:$D$253=V162)*($C$4:$C$253='F0 - Données générales'!$K$31)*($E$4:$E$253)*($F$4:$F$253)*($B$4:$B$253="9.1"))+SUMPRODUCT(($D$257:$D$281=V162)*($C$257:$C$281='F0 - Données générales'!$K$31)*($B$257:$B$281="9.1")*($E$257:$E$281)*($F$257:$F$281)))/(SUMIFS('F3 - Relevé du personnel'!$E$4:$E$281,'F3 - Relevé du personnel'!$D$4:$D$281,$V162,'F3 - Relevé du personnel'!$C$4:$C$281,'F0 - Données générales'!$K$31,'F3 - Relevé du personnel'!$B$4:$B$281,"9.1")))</f>
        <v/>
      </c>
      <c r="AK162" s="742" t="s">
        <v>79</v>
      </c>
      <c r="AL162" s="742"/>
      <c r="AM162" s="26" t="s">
        <v>279</v>
      </c>
      <c r="AN162" s="741"/>
      <c r="AO162" s="741"/>
      <c r="AP162" s="181">
        <f>SUMIFS('F3 - Relevé du personnel'!$E$4:$E$281,'F3 - Relevé du personnel'!$D$4:$D$281,$AM162,'F3 - Relevé du personnel'!$C$4:$C$281,'F0 - Données générales'!$K$31,'F3 - Relevé du personnel'!$B$4:$B$281,"Petit groupe")</f>
        <v>0</v>
      </c>
      <c r="AQ162" s="181">
        <f>SUMIFS('F3 - Relevé du personnel'!$H$4:$H$281,'F3 - Relevé du personnel'!$D$4:$D$281,$AM162,'F3 - Relevé du personnel'!$C$4:$C$281,'F0 - Données générales'!$K$31,'F3 - Relevé du personnel'!$B$4:$B$281,"Petit groupe")</f>
        <v>0</v>
      </c>
      <c r="AR162" s="256">
        <f>SUMIFS('F3 - Relevé du personnel'!$I$4:$I$281,'F3 - Relevé du personnel'!$D$4:$D$281,$AM162,'F3 - Relevé du personnel'!$C$4:$C$281,'F0 - Données générales'!$K$31,'F3 - Relevé du personnel'!$B$4:$B$281,"Petit groupe")</f>
        <v>0</v>
      </c>
      <c r="AS162" s="256">
        <f>SUMIFS('F3 - Relevé du personnel'!$M$4:$M$281,'F3 - Relevé du personnel'!$D$4:$D$281,$AM162,'F3 - Relevé du personnel'!$C$4:$C$281,'F0 - Données générales'!$K$31,'F3 - Relevé du personnel'!$B$4:$B$281,"Petit groupe")</f>
        <v>0</v>
      </c>
      <c r="AT162" s="196">
        <f t="shared" si="98"/>
        <v>0</v>
      </c>
      <c r="AU162" s="256">
        <f>SUMIFS('F3 - Relevé du personnel'!$O$4:$O$281,'F3 - Relevé du personnel'!$D$4:$D$281,$AM162,'F3 - Relevé du personnel'!$C$4:$C$281,'F0 - Données générales'!$K$31,'F3 - Relevé du personnel'!$B$4:$B$281,"Petit groupe")</f>
        <v>0</v>
      </c>
      <c r="AV162" s="256">
        <f>SUMIFS('F3 - Relevé du personnel'!$P$4:$P$281,'F3 - Relevé du personnel'!$D$4:$D$281,$AM162,'F3 - Relevé du personnel'!$C$4:$C$281,'F0 - Données générales'!$K$31,'F3 - Relevé du personnel'!$B$4:$B$281,"Petit groupe")</f>
        <v>0</v>
      </c>
      <c r="AW162" s="256">
        <f>SUMIFS('F3 - Relevé du personnel'!$Q$4:$Q$281,'F3 - Relevé du personnel'!$D$4:$D$281,$AM162,'F3 - Relevé du personnel'!$C$4:$C$281,'F0 - Données générales'!$K$31,'F3 - Relevé du personnel'!$B$4:$B$281,"Petit groupe")</f>
        <v>0</v>
      </c>
      <c r="AX162" s="182">
        <f t="shared" si="107"/>
        <v>0</v>
      </c>
      <c r="AY162" s="197" t="str">
        <f t="shared" si="106"/>
        <v/>
      </c>
      <c r="AZ162" s="198" t="str">
        <f>IF(AP162=0,"",(SUMPRODUCT(($D$4:$D$253=AM162)*($C$4:$C$253='F0 - Données générales'!$K$31)*($E$4:$E$253)*($F$4:$F$253)*($B$4:$B$253="0-3 ans"))+SUMPRODUCT(($D$257:$D$281=AM162)*($C$257:$C$281='F0 - Données générales'!$K$31)*($B$257:$B$281="0-3 ans")*($E$257:$E$281)*($F$257:$F$281)))/(SUMIFS('F3 - Relevé du personnel'!$E$4:$E$281,'F3 - Relevé du personnel'!$D$4:$D$281,$AM162,'F3 - Relevé du personnel'!$C$4:$C$281,'F0 - Données générales'!$K$31,'F3 - Relevé du personnel'!$B$4:$B$281,"0-3 ans")))</f>
        <v/>
      </c>
      <c r="BS162" s="14"/>
      <c r="BT162" s="14"/>
      <c r="BU162" s="14"/>
      <c r="BV162" s="14"/>
    </row>
    <row r="163" spans="1:74" ht="15" customHeight="1" x14ac:dyDescent="0.3">
      <c r="A163" s="106">
        <v>160</v>
      </c>
      <c r="B163" s="324">
        <f>'F0 - Données générales'!$C$4</f>
        <v>7</v>
      </c>
      <c r="C163" s="106" t="s">
        <v>95</v>
      </c>
      <c r="D163" s="106"/>
      <c r="E163" s="107"/>
      <c r="F163" s="108"/>
      <c r="G163" s="109"/>
      <c r="H163" s="110">
        <f t="shared" si="90"/>
        <v>0</v>
      </c>
      <c r="I163" s="177"/>
      <c r="J163" s="118" t="str">
        <f>IF(OR(D163="",F163=""),"",(((HLOOKUP(D163,'Carrières et points'!$A$20:$AD$60,F163+2,FALSE)*'Carrières et points'!$C$7*'Carrières et points'!$C$9)+(HLOOKUP(D163,'Carrières et points'!$A$20:$AD$60,F163+2,FALSE)*'Carrières et points'!$C$13*'Carrières et points'!$C$15))*(1+'F0 - Données générales'!$I$4)+((HLOOKUP(D163,'Carrières et points'!$A$20:$AD$60,F163+2,FALSE)*'Carrières et points'!$C$7*'Carrières et points'!$C$9)+(HLOOKUP(D163,'Carrières et points'!$A$20:$AD$60,F163+2,FALSE)*'Carrières et points'!$C$13*'Carrières et points'!$C$15))/12*(1+'F0 - Données générales'!$L$13))*E163)</f>
        <v/>
      </c>
      <c r="K163" s="118" t="str">
        <f t="shared" si="91"/>
        <v/>
      </c>
      <c r="L163" s="109"/>
      <c r="M163" s="177"/>
      <c r="N163" s="118" t="str">
        <f t="shared" si="92"/>
        <v/>
      </c>
      <c r="O163" s="177"/>
      <c r="P163" s="177"/>
      <c r="Q163" s="177"/>
      <c r="R163" s="255" t="str">
        <f t="shared" si="93"/>
        <v/>
      </c>
      <c r="S163" s="120"/>
      <c r="T163" s="742" t="s">
        <v>65</v>
      </c>
      <c r="U163" s="742"/>
      <c r="V163" s="26" t="s">
        <v>280</v>
      </c>
      <c r="W163" s="741"/>
      <c r="X163" s="741"/>
      <c r="Y163" s="181">
        <f>SUMIFS('F3 - Relevé du personnel'!$E$4:$E$281,'F3 - Relevé du personnel'!$D$4:$D$281,$V163,'F3 - Relevé du personnel'!$C$4:$C$281,'F0 - Données générales'!$K$31,'F3 - Relevé du personnel'!$B$4:$B$281,"9.1")</f>
        <v>0</v>
      </c>
      <c r="Z163" s="181">
        <f>SUMIFS('F3 - Relevé du personnel'!$H$4:$H$281,'F3 - Relevé du personnel'!$D$4:$D$281,$V163,'F3 - Relevé du personnel'!$C$4:$C$281,'F0 - Données générales'!$K$31,'F3 - Relevé du personnel'!$B$4:$B$281,"9.1")</f>
        <v>0</v>
      </c>
      <c r="AA163" s="256">
        <f>SUMIFS('F3 - Relevé du personnel'!$I$4:$I$281,'F3 - Relevé du personnel'!$D$4:$D$281,$V163,'F3 - Relevé du personnel'!$C$4:$C$281,'F0 - Données générales'!$K$31,'F3 - Relevé du personnel'!$B$4:$B$281,"9.1")</f>
        <v>0</v>
      </c>
      <c r="AB163" s="256">
        <f>SUMIFS('F3 - Relevé du personnel'!$M$4:$M$281,'F3 - Relevé du personnel'!$D$4:$D$281,$V163,'F3 - Relevé du personnel'!$C$4:$C$281,'F0 - Données générales'!$K$31,'F3 - Relevé du personnel'!$B$4:$B$281,"9.1")</f>
        <v>0</v>
      </c>
      <c r="AC163" s="196">
        <f t="shared" si="96"/>
        <v>0</v>
      </c>
      <c r="AD163" s="256">
        <f>SUMIFS('F3 - Relevé du personnel'!$O$4:$O$281,'F3 - Relevé du personnel'!$D$4:$D$281,$V163,'F3 - Relevé du personnel'!$C$4:$C$281,'F0 - Données générales'!$K$31,'F3 - Relevé du personnel'!$B$4:$B$281,"9.1")</f>
        <v>0</v>
      </c>
      <c r="AE163" s="256">
        <f>SUMIFS('F3 - Relevé du personnel'!$P$4:$P$281,'F3 - Relevé du personnel'!$D$4:$D$281,$V163,'F3 - Relevé du personnel'!$C$4:$C$281,'F0 - Données générales'!$K$31,'F3 - Relevé du personnel'!$B$4:$B$281,"9.1")</f>
        <v>0</v>
      </c>
      <c r="AF163" s="256">
        <f>SUMIFS('F3 - Relevé du personnel'!$Q$4:$Q$281,'F3 - Relevé du personnel'!$D$4:$D$281,$V163,'F3 - Relevé du personnel'!$C$4:$C$281,'F0 - Données générales'!$K$31,'F3 - Relevé du personnel'!$B$4:$B$281,"9.1")</f>
        <v>0</v>
      </c>
      <c r="AG163" s="182">
        <f t="shared" si="97"/>
        <v>0</v>
      </c>
      <c r="AH163" s="197" t="str">
        <f t="shared" si="105"/>
        <v/>
      </c>
      <c r="AI163" s="198" t="str">
        <f>IF(Y163=0,"",(SUMPRODUCT(($D$4:$D$253=V163)*($C$4:$C$253='F0 - Données générales'!$K$31)*($E$4:$E$253)*($F$4:$F$253)*($B$4:$B$253="9.1"))+SUMPRODUCT(($D$257:$D$281=V163)*($C$257:$C$281='F0 - Données générales'!$K$31)*($B$257:$B$281="9.1")*($E$257:$E$281)*($F$257:$F$281)))/(SUMIFS('F3 - Relevé du personnel'!$E$4:$E$281,'F3 - Relevé du personnel'!$D$4:$D$281,$V163,'F3 - Relevé du personnel'!$C$4:$C$281,'F0 - Données générales'!$K$31,'F3 - Relevé du personnel'!$B$4:$B$281,"9.1")))</f>
        <v/>
      </c>
      <c r="AK163" s="742" t="s">
        <v>65</v>
      </c>
      <c r="AL163" s="742"/>
      <c r="AM163" s="26" t="s">
        <v>280</v>
      </c>
      <c r="AN163" s="741"/>
      <c r="AO163" s="741"/>
      <c r="AP163" s="181">
        <f>SUMIFS('F3 - Relevé du personnel'!$E$4:$E$281,'F3 - Relevé du personnel'!$D$4:$D$281,$AM163,'F3 - Relevé du personnel'!$C$4:$C$281,'F0 - Données générales'!$K$31,'F3 - Relevé du personnel'!$B$4:$B$281,"Petit groupe")</f>
        <v>0</v>
      </c>
      <c r="AQ163" s="181">
        <f>SUMIFS('F3 - Relevé du personnel'!$H$4:$H$281,'F3 - Relevé du personnel'!$D$4:$D$281,$AM163,'F3 - Relevé du personnel'!$C$4:$C$281,'F0 - Données générales'!$K$31,'F3 - Relevé du personnel'!$B$4:$B$281,"Petit groupe")</f>
        <v>0</v>
      </c>
      <c r="AR163" s="256">
        <f>SUMIFS('F3 - Relevé du personnel'!$I$4:$I$281,'F3 - Relevé du personnel'!$D$4:$D$281,$AM163,'F3 - Relevé du personnel'!$C$4:$C$281,'F0 - Données générales'!$K$31,'F3 - Relevé du personnel'!$B$4:$B$281,"Petit groupe")</f>
        <v>0</v>
      </c>
      <c r="AS163" s="256">
        <f>SUMIFS('F3 - Relevé du personnel'!$M$4:$M$281,'F3 - Relevé du personnel'!$D$4:$D$281,$AM163,'F3 - Relevé du personnel'!$C$4:$C$281,'F0 - Données générales'!$K$31,'F3 - Relevé du personnel'!$B$4:$B$281,"Petit groupe")</f>
        <v>0</v>
      </c>
      <c r="AT163" s="196">
        <f t="shared" si="98"/>
        <v>0</v>
      </c>
      <c r="AU163" s="256">
        <f>SUMIFS('F3 - Relevé du personnel'!$O$4:$O$281,'F3 - Relevé du personnel'!$D$4:$D$281,$AM163,'F3 - Relevé du personnel'!$C$4:$C$281,'F0 - Données générales'!$K$31,'F3 - Relevé du personnel'!$B$4:$B$281,"Petit groupe")</f>
        <v>0</v>
      </c>
      <c r="AV163" s="256">
        <f>SUMIFS('F3 - Relevé du personnel'!$P$4:$P$281,'F3 - Relevé du personnel'!$D$4:$D$281,$AM163,'F3 - Relevé du personnel'!$C$4:$C$281,'F0 - Données générales'!$K$31,'F3 - Relevé du personnel'!$B$4:$B$281,"Petit groupe")</f>
        <v>0</v>
      </c>
      <c r="AW163" s="256">
        <f>SUMIFS('F3 - Relevé du personnel'!$Q$4:$Q$281,'F3 - Relevé du personnel'!$D$4:$D$281,$AM163,'F3 - Relevé du personnel'!$C$4:$C$281,'F0 - Données générales'!$K$31,'F3 - Relevé du personnel'!$B$4:$B$281,"Petit groupe")</f>
        <v>0</v>
      </c>
      <c r="AX163" s="182">
        <f t="shared" si="107"/>
        <v>0</v>
      </c>
      <c r="AY163" s="197" t="str">
        <f t="shared" si="106"/>
        <v/>
      </c>
      <c r="AZ163" s="198" t="str">
        <f>IF(AP163=0,"",(SUMPRODUCT(($D$4:$D$253=AM163)*($C$4:$C$253='F0 - Données générales'!$K$31)*($E$4:$E$253)*($F$4:$F$253)*($B$4:$B$253="0-3 ans"))+SUMPRODUCT(($D$257:$D$281=AM163)*($C$257:$C$281='F0 - Données générales'!$K$31)*($B$257:$B$281="0-3 ans")*($E$257:$E$281)*($F$257:$F$281)))/(SUMIFS('F3 - Relevé du personnel'!$E$4:$E$281,'F3 - Relevé du personnel'!$D$4:$D$281,$AM163,'F3 - Relevé du personnel'!$C$4:$C$281,'F0 - Données générales'!$K$31,'F3 - Relevé du personnel'!$B$4:$B$281,"0-3 ans")))</f>
        <v/>
      </c>
      <c r="BS163" s="14"/>
      <c r="BT163" s="14"/>
      <c r="BU163" s="14"/>
      <c r="BV163" s="14"/>
    </row>
    <row r="164" spans="1:74" ht="15" customHeight="1" x14ac:dyDescent="0.3">
      <c r="A164" s="106">
        <v>161</v>
      </c>
      <c r="B164" s="324">
        <f>'F0 - Données générales'!$C$4</f>
        <v>7</v>
      </c>
      <c r="C164" s="106" t="s">
        <v>95</v>
      </c>
      <c r="D164" s="106"/>
      <c r="E164" s="107"/>
      <c r="F164" s="108"/>
      <c r="G164" s="109"/>
      <c r="H164" s="110">
        <f t="shared" si="90"/>
        <v>0</v>
      </c>
      <c r="I164" s="177"/>
      <c r="J164" s="118" t="str">
        <f>IF(OR(D164="",F164=""),"",(((HLOOKUP(D164,'Carrières et points'!$A$20:$AD$60,F164+2,FALSE)*'Carrières et points'!$C$7*'Carrières et points'!$C$9)+(HLOOKUP(D164,'Carrières et points'!$A$20:$AD$60,F164+2,FALSE)*'Carrières et points'!$C$13*'Carrières et points'!$C$15))*(1+'F0 - Données générales'!$I$4)+((HLOOKUP(D164,'Carrières et points'!$A$20:$AD$60,F164+2,FALSE)*'Carrières et points'!$C$7*'Carrières et points'!$C$9)+(HLOOKUP(D164,'Carrières et points'!$A$20:$AD$60,F164+2,FALSE)*'Carrières et points'!$C$13*'Carrières et points'!$C$15))/12*(1+'F0 - Données générales'!$L$13))*E164)</f>
        <v/>
      </c>
      <c r="K164" s="118" t="str">
        <f t="shared" si="91"/>
        <v/>
      </c>
      <c r="L164" s="109"/>
      <c r="M164" s="177"/>
      <c r="N164" s="118" t="str">
        <f t="shared" si="92"/>
        <v/>
      </c>
      <c r="O164" s="177"/>
      <c r="P164" s="177"/>
      <c r="Q164" s="177"/>
      <c r="R164" s="255" t="str">
        <f t="shared" si="93"/>
        <v/>
      </c>
      <c r="S164" s="120"/>
      <c r="T164" s="742" t="s">
        <v>64</v>
      </c>
      <c r="U164" s="742"/>
      <c r="V164" s="26" t="s">
        <v>97</v>
      </c>
      <c r="W164" s="741"/>
      <c r="X164" s="741"/>
      <c r="Y164" s="181">
        <f>SUMIFS('F3 - Relevé du personnel'!$E$4:$E$281,'F3 - Relevé du personnel'!$D$4:$D$281,$V164,'F3 - Relevé du personnel'!$C$4:$C$281,'F0 - Données générales'!$K$31,'F3 - Relevé du personnel'!$B$4:$B$281,"9.1")</f>
        <v>0</v>
      </c>
      <c r="Z164" s="181">
        <f>SUMIFS('F3 - Relevé du personnel'!$H$4:$H$281,'F3 - Relevé du personnel'!$D$4:$D$281,$V164,'F3 - Relevé du personnel'!$C$4:$C$281,'F0 - Données générales'!$K$31,'F3 - Relevé du personnel'!$B$4:$B$281,"9.1")</f>
        <v>0</v>
      </c>
      <c r="AA164" s="256">
        <f>SUMIFS('F3 - Relevé du personnel'!$I$4:$I$281,'F3 - Relevé du personnel'!$D$4:$D$281,$V164,'F3 - Relevé du personnel'!$C$4:$C$281,'F0 - Données générales'!$K$31,'F3 - Relevé du personnel'!$B$4:$B$281,"9.1")</f>
        <v>0</v>
      </c>
      <c r="AB164" s="256">
        <f>SUMIFS('F3 - Relevé du personnel'!$M$4:$M$281,'F3 - Relevé du personnel'!$D$4:$D$281,$V164,'F3 - Relevé du personnel'!$C$4:$C$281,'F0 - Données générales'!$K$31,'F3 - Relevé du personnel'!$B$4:$B$281,"9.1")</f>
        <v>0</v>
      </c>
      <c r="AC164" s="196">
        <f t="shared" si="96"/>
        <v>0</v>
      </c>
      <c r="AD164" s="256">
        <f>SUMIFS('F3 - Relevé du personnel'!$O$4:$O$281,'F3 - Relevé du personnel'!$D$4:$D$281,$V164,'F3 - Relevé du personnel'!$C$4:$C$281,'F0 - Données générales'!$K$31,'F3 - Relevé du personnel'!$B$4:$B$281,"9.1")</f>
        <v>0</v>
      </c>
      <c r="AE164" s="256">
        <f>SUMIFS('F3 - Relevé du personnel'!$P$4:$P$281,'F3 - Relevé du personnel'!$D$4:$D$281,$V164,'F3 - Relevé du personnel'!$C$4:$C$281,'F0 - Données générales'!$K$31,'F3 - Relevé du personnel'!$B$4:$B$281,"9.1")</f>
        <v>0</v>
      </c>
      <c r="AF164" s="256">
        <f>SUMIFS('F3 - Relevé du personnel'!$Q$4:$Q$281,'F3 - Relevé du personnel'!$D$4:$D$281,$V164,'F3 - Relevé du personnel'!$C$4:$C$281,'F0 - Données générales'!$K$31,'F3 - Relevé du personnel'!$B$4:$B$281,"9.1")</f>
        <v>0</v>
      </c>
      <c r="AG164" s="182">
        <f t="shared" si="97"/>
        <v>0</v>
      </c>
      <c r="AH164" s="197" t="str">
        <f t="shared" si="105"/>
        <v/>
      </c>
      <c r="AI164" s="198" t="str">
        <f>IF(Y164=0,"",(SUMPRODUCT(($D$4:$D$253=V164)*($C$4:$C$253='F0 - Données générales'!$K$31)*($E$4:$E$253)*($F$4:$F$253)*($B$4:$B$253="9.1"))+SUMPRODUCT(($D$257:$D$281=V164)*($C$257:$C$281='F0 - Données générales'!$K$31)*($B$257:$B$281="9.1")*($E$257:$E$281)*($F$257:$F$281)))/(SUMIFS('F3 - Relevé du personnel'!$E$4:$E$281,'F3 - Relevé du personnel'!$D$4:$D$281,$V164,'F3 - Relevé du personnel'!$C$4:$C$281,'F0 - Données générales'!$K$31,'F3 - Relevé du personnel'!$B$4:$B$281,"9.1")))</f>
        <v/>
      </c>
      <c r="AK164" s="742" t="s">
        <v>64</v>
      </c>
      <c r="AL164" s="742"/>
      <c r="AM164" s="26" t="s">
        <v>97</v>
      </c>
      <c r="AN164" s="741"/>
      <c r="AO164" s="741"/>
      <c r="AP164" s="181">
        <f>SUMIFS('F3 - Relevé du personnel'!$E$4:$E$281,'F3 - Relevé du personnel'!$D$4:$D$281,$AM164,'F3 - Relevé du personnel'!$C$4:$C$281,'F0 - Données générales'!$K$31,'F3 - Relevé du personnel'!$B$4:$B$281,"Petit groupe")</f>
        <v>0</v>
      </c>
      <c r="AQ164" s="181">
        <f>SUMIFS('F3 - Relevé du personnel'!$H$4:$H$281,'F3 - Relevé du personnel'!$D$4:$D$281,$AM164,'F3 - Relevé du personnel'!$C$4:$C$281,'F0 - Données générales'!$K$31,'F3 - Relevé du personnel'!$B$4:$B$281,"Petit groupe")</f>
        <v>0</v>
      </c>
      <c r="AR164" s="256">
        <f>SUMIFS('F3 - Relevé du personnel'!$I$4:$I$281,'F3 - Relevé du personnel'!$D$4:$D$281,$AM164,'F3 - Relevé du personnel'!$C$4:$C$281,'F0 - Données générales'!$K$31,'F3 - Relevé du personnel'!$B$4:$B$281,"Petit groupe")</f>
        <v>0</v>
      </c>
      <c r="AS164" s="256">
        <f>SUMIFS('F3 - Relevé du personnel'!$M$4:$M$281,'F3 - Relevé du personnel'!$D$4:$D$281,$AM164,'F3 - Relevé du personnel'!$C$4:$C$281,'F0 - Données générales'!$K$31,'F3 - Relevé du personnel'!$B$4:$B$281,"Petit groupe")</f>
        <v>0</v>
      </c>
      <c r="AT164" s="196">
        <f t="shared" si="98"/>
        <v>0</v>
      </c>
      <c r="AU164" s="256">
        <f>SUMIFS('F3 - Relevé du personnel'!$O$4:$O$281,'F3 - Relevé du personnel'!$D$4:$D$281,$AM164,'F3 - Relevé du personnel'!$C$4:$C$281,'F0 - Données générales'!$K$31,'F3 - Relevé du personnel'!$B$4:$B$281,"Petit groupe")</f>
        <v>0</v>
      </c>
      <c r="AV164" s="256">
        <f>SUMIFS('F3 - Relevé du personnel'!$P$4:$P$281,'F3 - Relevé du personnel'!$D$4:$D$281,$AM164,'F3 - Relevé du personnel'!$C$4:$C$281,'F0 - Données générales'!$K$31,'F3 - Relevé du personnel'!$B$4:$B$281,"Petit groupe")</f>
        <v>0</v>
      </c>
      <c r="AW164" s="256">
        <f>SUMIFS('F3 - Relevé du personnel'!$Q$4:$Q$281,'F3 - Relevé du personnel'!$D$4:$D$281,$AM164,'F3 - Relevé du personnel'!$C$4:$C$281,'F0 - Données générales'!$K$31,'F3 - Relevé du personnel'!$B$4:$B$281,"Petit groupe")</f>
        <v>0</v>
      </c>
      <c r="AX164" s="182">
        <f t="shared" si="107"/>
        <v>0</v>
      </c>
      <c r="AY164" s="197" t="str">
        <f t="shared" si="106"/>
        <v/>
      </c>
      <c r="AZ164" s="198" t="str">
        <f>IF(AP164=0,"",(SUMPRODUCT(($D$4:$D$253=AM164)*($C$4:$C$253='F0 - Données générales'!$K$31)*($E$4:$E$253)*($F$4:$F$253)*($B$4:$B$253="0-3 ans"))+SUMPRODUCT(($D$257:$D$281=AM164)*($C$257:$C$281='F0 - Données générales'!$K$31)*($B$257:$B$281="0-3 ans")*($E$257:$E$281)*($F$257:$F$281)))/(SUMIFS('F3 - Relevé du personnel'!$E$4:$E$281,'F3 - Relevé du personnel'!$D$4:$D$281,$AM164,'F3 - Relevé du personnel'!$C$4:$C$281,'F0 - Données générales'!$K$31,'F3 - Relevé du personnel'!$B$4:$B$281,"0-3 ans")))</f>
        <v/>
      </c>
      <c r="BS164" s="14"/>
      <c r="BT164" s="14"/>
      <c r="BU164" s="14"/>
      <c r="BV164" s="132"/>
    </row>
    <row r="165" spans="1:74" ht="15" customHeight="1" x14ac:dyDescent="0.3">
      <c r="A165" s="106">
        <v>162</v>
      </c>
      <c r="B165" s="324">
        <f>'F0 - Données générales'!$C$4</f>
        <v>7</v>
      </c>
      <c r="C165" s="106" t="s">
        <v>95</v>
      </c>
      <c r="D165" s="106"/>
      <c r="E165" s="107"/>
      <c r="F165" s="108"/>
      <c r="G165" s="109"/>
      <c r="H165" s="110">
        <f t="shared" si="90"/>
        <v>0</v>
      </c>
      <c r="I165" s="177"/>
      <c r="J165" s="118" t="str">
        <f>IF(OR(D165="",F165=""),"",(((HLOOKUP(D165,'Carrières et points'!$A$20:$AD$60,F165+2,FALSE)*'Carrières et points'!$C$7*'Carrières et points'!$C$9)+(HLOOKUP(D165,'Carrières et points'!$A$20:$AD$60,F165+2,FALSE)*'Carrières et points'!$C$13*'Carrières et points'!$C$15))*(1+'F0 - Données générales'!$I$4)+((HLOOKUP(D165,'Carrières et points'!$A$20:$AD$60,F165+2,FALSE)*'Carrières et points'!$C$7*'Carrières et points'!$C$9)+(HLOOKUP(D165,'Carrières et points'!$A$20:$AD$60,F165+2,FALSE)*'Carrières et points'!$C$13*'Carrières et points'!$C$15))/12*(1+'F0 - Données générales'!$L$13))*E165)</f>
        <v/>
      </c>
      <c r="K165" s="118" t="str">
        <f t="shared" si="91"/>
        <v/>
      </c>
      <c r="L165" s="109"/>
      <c r="M165" s="177"/>
      <c r="N165" s="118" t="str">
        <f t="shared" si="92"/>
        <v/>
      </c>
      <c r="O165" s="177"/>
      <c r="P165" s="177"/>
      <c r="Q165" s="177"/>
      <c r="R165" s="255" t="str">
        <f t="shared" si="93"/>
        <v/>
      </c>
      <c r="S165" s="120"/>
      <c r="T165" s="742" t="s">
        <v>61</v>
      </c>
      <c r="U165" s="742"/>
      <c r="V165" s="26" t="s">
        <v>98</v>
      </c>
      <c r="W165" s="741"/>
      <c r="X165" s="741"/>
      <c r="Y165" s="181">
        <f>SUMIFS('F3 - Relevé du personnel'!$E$4:$E$281,'F3 - Relevé du personnel'!$D$4:$D$281,$V165,'F3 - Relevé du personnel'!$C$4:$C$281,'F0 - Données générales'!$K$31,'F3 - Relevé du personnel'!$B$4:$B$281,"9.1")</f>
        <v>0</v>
      </c>
      <c r="Z165" s="181">
        <f>SUMIFS('F3 - Relevé du personnel'!$H$4:$H$281,'F3 - Relevé du personnel'!$D$4:$D$281,$V165,'F3 - Relevé du personnel'!$C$4:$C$281,'F0 - Données générales'!$K$31,'F3 - Relevé du personnel'!$B$4:$B$281,"9.1")</f>
        <v>0</v>
      </c>
      <c r="AA165" s="256">
        <f>SUMIFS('F3 - Relevé du personnel'!$I$4:$I$281,'F3 - Relevé du personnel'!$D$4:$D$281,$V165,'F3 - Relevé du personnel'!$C$4:$C$281,'F0 - Données générales'!$K$31,'F3 - Relevé du personnel'!$B$4:$B$281,"9.1")</f>
        <v>0</v>
      </c>
      <c r="AB165" s="256">
        <f>SUMIFS('F3 - Relevé du personnel'!$M$4:$M$281,'F3 - Relevé du personnel'!$D$4:$D$281,$V165,'F3 - Relevé du personnel'!$C$4:$C$281,'F0 - Données générales'!$K$31,'F3 - Relevé du personnel'!$B$4:$B$281,"9.1")</f>
        <v>0</v>
      </c>
      <c r="AC165" s="196">
        <f t="shared" si="96"/>
        <v>0</v>
      </c>
      <c r="AD165" s="256">
        <f>SUMIFS('F3 - Relevé du personnel'!$O$4:$O$281,'F3 - Relevé du personnel'!$D$4:$D$281,$V165,'F3 - Relevé du personnel'!$C$4:$C$281,'F0 - Données générales'!$K$31,'F3 - Relevé du personnel'!$B$4:$B$281,"9.1")</f>
        <v>0</v>
      </c>
      <c r="AE165" s="256">
        <f>SUMIFS('F3 - Relevé du personnel'!$P$4:$P$281,'F3 - Relevé du personnel'!$D$4:$D$281,$V165,'F3 - Relevé du personnel'!$C$4:$C$281,'F0 - Données générales'!$K$31,'F3 - Relevé du personnel'!$B$4:$B$281,"9.1")</f>
        <v>0</v>
      </c>
      <c r="AF165" s="256">
        <f>SUMIFS('F3 - Relevé du personnel'!$Q$4:$Q$281,'F3 - Relevé du personnel'!$D$4:$D$281,$V165,'F3 - Relevé du personnel'!$C$4:$C$281,'F0 - Données générales'!$K$31,'F3 - Relevé du personnel'!$B$4:$B$281,"9.1")</f>
        <v>0</v>
      </c>
      <c r="AG165" s="182">
        <f t="shared" si="97"/>
        <v>0</v>
      </c>
      <c r="AH165" s="197" t="str">
        <f t="shared" si="105"/>
        <v/>
      </c>
      <c r="AI165" s="198" t="str">
        <f>IF(Y165=0,"",(SUMPRODUCT(($D$4:$D$253=V165)*($C$4:$C$253='F0 - Données générales'!$K$31)*($E$4:$E$253)*($F$4:$F$253)*($B$4:$B$253="9.1"))+SUMPRODUCT(($D$257:$D$281=V165)*($C$257:$C$281='F0 - Données générales'!$K$31)*($B$257:$B$281="9.1")*($E$257:$E$281)*($F$257:$F$281)))/(SUMIFS('F3 - Relevé du personnel'!$E$4:$E$281,'F3 - Relevé du personnel'!$D$4:$D$281,$V165,'F3 - Relevé du personnel'!$C$4:$C$281,'F0 - Données générales'!$K$31,'F3 - Relevé du personnel'!$B$4:$B$281,"9.1")))</f>
        <v/>
      </c>
      <c r="AK165" s="742" t="s">
        <v>61</v>
      </c>
      <c r="AL165" s="742"/>
      <c r="AM165" s="26" t="s">
        <v>98</v>
      </c>
      <c r="AN165" s="741"/>
      <c r="AO165" s="741"/>
      <c r="AP165" s="181">
        <f>SUMIFS('F3 - Relevé du personnel'!$E$4:$E$281,'F3 - Relevé du personnel'!$D$4:$D$281,$AM165,'F3 - Relevé du personnel'!$C$4:$C$281,'F0 - Données générales'!$K$31,'F3 - Relevé du personnel'!$B$4:$B$281,"Petit groupe")</f>
        <v>0</v>
      </c>
      <c r="AQ165" s="181">
        <f>SUMIFS('F3 - Relevé du personnel'!$H$4:$H$281,'F3 - Relevé du personnel'!$D$4:$D$281,$AM165,'F3 - Relevé du personnel'!$C$4:$C$281,'F0 - Données générales'!$K$31,'F3 - Relevé du personnel'!$B$4:$B$281,"Petit groupe")</f>
        <v>0</v>
      </c>
      <c r="AR165" s="256">
        <f>SUMIFS('F3 - Relevé du personnel'!$I$4:$I$281,'F3 - Relevé du personnel'!$D$4:$D$281,$AM165,'F3 - Relevé du personnel'!$C$4:$C$281,'F0 - Données générales'!$K$31,'F3 - Relevé du personnel'!$B$4:$B$281,"Petit groupe")</f>
        <v>0</v>
      </c>
      <c r="AS165" s="256">
        <f>SUMIFS('F3 - Relevé du personnel'!$M$4:$M$281,'F3 - Relevé du personnel'!$D$4:$D$281,$AM165,'F3 - Relevé du personnel'!$C$4:$C$281,'F0 - Données générales'!$K$31,'F3 - Relevé du personnel'!$B$4:$B$281,"Petit groupe")</f>
        <v>0</v>
      </c>
      <c r="AT165" s="196">
        <f t="shared" si="98"/>
        <v>0</v>
      </c>
      <c r="AU165" s="256">
        <f>SUMIFS('F3 - Relevé du personnel'!$O$4:$O$281,'F3 - Relevé du personnel'!$D$4:$D$281,$AM165,'F3 - Relevé du personnel'!$C$4:$C$281,'F0 - Données générales'!$K$31,'F3 - Relevé du personnel'!$B$4:$B$281,"Petit groupe")</f>
        <v>0</v>
      </c>
      <c r="AV165" s="256">
        <f>SUMIFS('F3 - Relevé du personnel'!$P$4:$P$281,'F3 - Relevé du personnel'!$D$4:$D$281,$AM165,'F3 - Relevé du personnel'!$C$4:$C$281,'F0 - Données générales'!$K$31,'F3 - Relevé du personnel'!$B$4:$B$281,"Petit groupe")</f>
        <v>0</v>
      </c>
      <c r="AW165" s="256">
        <f>SUMIFS('F3 - Relevé du personnel'!$Q$4:$Q$281,'F3 - Relevé du personnel'!$D$4:$D$281,$AM165,'F3 - Relevé du personnel'!$C$4:$C$281,'F0 - Données générales'!$K$31,'F3 - Relevé du personnel'!$B$4:$B$281,"Petit groupe")</f>
        <v>0</v>
      </c>
      <c r="AX165" s="182">
        <f t="shared" si="107"/>
        <v>0</v>
      </c>
      <c r="AY165" s="197" t="str">
        <f t="shared" si="106"/>
        <v/>
      </c>
      <c r="AZ165" s="198" t="str">
        <f>IF(AP165=0,"",(SUMPRODUCT(($D$4:$D$253=AM165)*($C$4:$C$253='F0 - Données générales'!$K$31)*($E$4:$E$253)*($F$4:$F$253)*($B$4:$B$253="0-3 ans"))+SUMPRODUCT(($D$257:$D$281=AM165)*($C$257:$C$281='F0 - Données générales'!$K$31)*($B$257:$B$281="0-3 ans")*($E$257:$E$281)*($F$257:$F$281)))/(SUMIFS('F3 - Relevé du personnel'!$E$4:$E$281,'F3 - Relevé du personnel'!$D$4:$D$281,$AM165,'F3 - Relevé du personnel'!$C$4:$C$281,'F0 - Données générales'!$K$31,'F3 - Relevé du personnel'!$B$4:$B$281,"0-3 ans")))</f>
        <v/>
      </c>
      <c r="BS165" s="14"/>
      <c r="BT165" s="14"/>
      <c r="BU165" s="14"/>
      <c r="BV165" s="14"/>
    </row>
    <row r="166" spans="1:74" ht="15" customHeight="1" x14ac:dyDescent="0.3">
      <c r="A166" s="106">
        <v>163</v>
      </c>
      <c r="B166" s="324">
        <f>'F0 - Données générales'!$C$4</f>
        <v>7</v>
      </c>
      <c r="C166" s="106" t="s">
        <v>95</v>
      </c>
      <c r="D166" s="106"/>
      <c r="E166" s="107"/>
      <c r="F166" s="108"/>
      <c r="G166" s="109"/>
      <c r="H166" s="110">
        <f t="shared" si="90"/>
        <v>0</v>
      </c>
      <c r="I166" s="177"/>
      <c r="J166" s="118" t="str">
        <f>IF(OR(D166="",F166=""),"",(((HLOOKUP(D166,'Carrières et points'!$A$20:$AD$60,F166+2,FALSE)*'Carrières et points'!$C$7*'Carrières et points'!$C$9)+(HLOOKUP(D166,'Carrières et points'!$A$20:$AD$60,F166+2,FALSE)*'Carrières et points'!$C$13*'Carrières et points'!$C$15))*(1+'F0 - Données générales'!$I$4)+((HLOOKUP(D166,'Carrières et points'!$A$20:$AD$60,F166+2,FALSE)*'Carrières et points'!$C$7*'Carrières et points'!$C$9)+(HLOOKUP(D166,'Carrières et points'!$A$20:$AD$60,F166+2,FALSE)*'Carrières et points'!$C$13*'Carrières et points'!$C$15))/12*(1+'F0 - Données générales'!$L$13))*E166)</f>
        <v/>
      </c>
      <c r="K166" s="118" t="str">
        <f t="shared" si="91"/>
        <v/>
      </c>
      <c r="L166" s="109"/>
      <c r="M166" s="177"/>
      <c r="N166" s="118" t="str">
        <f t="shared" si="92"/>
        <v/>
      </c>
      <c r="O166" s="177"/>
      <c r="P166" s="177"/>
      <c r="Q166" s="177"/>
      <c r="R166" s="255" t="str">
        <f t="shared" si="93"/>
        <v/>
      </c>
      <c r="S166" s="120"/>
      <c r="T166" s="742" t="s">
        <v>61</v>
      </c>
      <c r="U166" s="742"/>
      <c r="V166" s="26" t="s">
        <v>319</v>
      </c>
      <c r="W166" s="741"/>
      <c r="X166" s="741"/>
      <c r="Y166" s="181">
        <f>SUMIFS('F3 - Relevé du personnel'!$E$4:$E$281,'F3 - Relevé du personnel'!$D$4:$D$281,$V166,'F3 - Relevé du personnel'!$C$4:$C$281,'F0 - Données générales'!$K$31,'F3 - Relevé du personnel'!$B$4:$B$281,"9.1")</f>
        <v>0</v>
      </c>
      <c r="Z166" s="181">
        <f>SUMIFS('F3 - Relevé du personnel'!$H$4:$H$281,'F3 - Relevé du personnel'!$D$4:$D$281,$V166,'F3 - Relevé du personnel'!$C$4:$C$281,'F0 - Données générales'!$K$31,'F3 - Relevé du personnel'!$B$4:$B$281,"9.1")</f>
        <v>0</v>
      </c>
      <c r="AA166" s="256">
        <f>SUMIFS('F3 - Relevé du personnel'!$I$4:$I$281,'F3 - Relevé du personnel'!$D$4:$D$281,$V166,'F3 - Relevé du personnel'!$C$4:$C$281,'F0 - Données générales'!$K$31,'F3 - Relevé du personnel'!$B$4:$B$281,"9.1")</f>
        <v>0</v>
      </c>
      <c r="AB166" s="256">
        <f>SUMIFS('F3 - Relevé du personnel'!$M$4:$M$281,'F3 - Relevé du personnel'!$D$4:$D$281,$V166,'F3 - Relevé du personnel'!$C$4:$C$281,'F0 - Données générales'!$K$31,'F3 - Relevé du personnel'!$B$4:$B$281,"9.1")</f>
        <v>0</v>
      </c>
      <c r="AC166" s="196">
        <f t="shared" si="96"/>
        <v>0</v>
      </c>
      <c r="AD166" s="256">
        <f>SUMIFS('F3 - Relevé du personnel'!$O$4:$O$281,'F3 - Relevé du personnel'!$D$4:$D$281,$V166,'F3 - Relevé du personnel'!$C$4:$C$281,'F0 - Données générales'!$K$31,'F3 - Relevé du personnel'!$B$4:$B$281,"9.1")</f>
        <v>0</v>
      </c>
      <c r="AE166" s="256">
        <f>SUMIFS('F3 - Relevé du personnel'!$P$4:$P$281,'F3 - Relevé du personnel'!$D$4:$D$281,$V166,'F3 - Relevé du personnel'!$C$4:$C$281,'F0 - Données générales'!$K$31,'F3 - Relevé du personnel'!$B$4:$B$281,"9.1")</f>
        <v>0</v>
      </c>
      <c r="AF166" s="256">
        <f>SUMIFS('F3 - Relevé du personnel'!$Q$4:$Q$281,'F3 - Relevé du personnel'!$D$4:$D$281,$V166,'F3 - Relevé du personnel'!$C$4:$C$281,'F0 - Données générales'!$K$31,'F3 - Relevé du personnel'!$B$4:$B$281,"9.1")</f>
        <v>0</v>
      </c>
      <c r="AG166" s="182">
        <f t="shared" si="97"/>
        <v>0</v>
      </c>
      <c r="AH166" s="197" t="str">
        <f t="shared" si="105"/>
        <v/>
      </c>
      <c r="AI166" s="198" t="str">
        <f>IF(Y166=0,"",(SUMPRODUCT(($D$4:$D$253=V166)*($C$4:$C$253='F0 - Données générales'!$K$31)*($E$4:$E$253)*($F$4:$F$253)*($B$4:$B$253="9.1"))+SUMPRODUCT(($D$257:$D$281=V166)*($C$257:$C$281='F0 - Données générales'!$K$31)*($B$257:$B$281="9.1")*($E$257:$E$281)*($F$257:$F$281)))/(SUMIFS('F3 - Relevé du personnel'!$E$4:$E$281,'F3 - Relevé du personnel'!$D$4:$D$281,$V166,'F3 - Relevé du personnel'!$C$4:$C$281,'F0 - Données générales'!$K$31,'F3 - Relevé du personnel'!$B$4:$B$281,"9.1")))</f>
        <v/>
      </c>
      <c r="AK166" s="742" t="s">
        <v>61</v>
      </c>
      <c r="AL166" s="742"/>
      <c r="AM166" s="26" t="s">
        <v>319</v>
      </c>
      <c r="AN166" s="741"/>
      <c r="AO166" s="741"/>
      <c r="AP166" s="181">
        <f>SUMIFS('F3 - Relevé du personnel'!$E$4:$E$281,'F3 - Relevé du personnel'!$D$4:$D$281,$AM166,'F3 - Relevé du personnel'!$C$4:$C$281,'F0 - Données générales'!$K$31,'F3 - Relevé du personnel'!$B$4:$B$281,"Petit groupe")</f>
        <v>0</v>
      </c>
      <c r="AQ166" s="181">
        <f>SUMIFS('F3 - Relevé du personnel'!$H$4:$H$281,'F3 - Relevé du personnel'!$D$4:$D$281,$AM166,'F3 - Relevé du personnel'!$C$4:$C$281,'F0 - Données générales'!$K$31,'F3 - Relevé du personnel'!$B$4:$B$281,"Petit groupe")</f>
        <v>0</v>
      </c>
      <c r="AR166" s="256">
        <f>SUMIFS('F3 - Relevé du personnel'!$I$4:$I$281,'F3 - Relevé du personnel'!$D$4:$D$281,$AM166,'F3 - Relevé du personnel'!$C$4:$C$281,'F0 - Données générales'!$K$31,'F3 - Relevé du personnel'!$B$4:$B$281,"Petit groupe")</f>
        <v>0</v>
      </c>
      <c r="AS166" s="256">
        <f>SUMIFS('F3 - Relevé du personnel'!$M$4:$M$281,'F3 - Relevé du personnel'!$D$4:$D$281,$AM166,'F3 - Relevé du personnel'!$C$4:$C$281,'F0 - Données générales'!$K$31,'F3 - Relevé du personnel'!$B$4:$B$281,"Petit groupe")</f>
        <v>0</v>
      </c>
      <c r="AT166" s="196">
        <f t="shared" si="98"/>
        <v>0</v>
      </c>
      <c r="AU166" s="256">
        <f>SUMIFS('F3 - Relevé du personnel'!$O$4:$O$281,'F3 - Relevé du personnel'!$D$4:$D$281,$AM166,'F3 - Relevé du personnel'!$C$4:$C$281,'F0 - Données générales'!$K$31,'F3 - Relevé du personnel'!$B$4:$B$281,"Petit groupe")</f>
        <v>0</v>
      </c>
      <c r="AV166" s="256">
        <f>SUMIFS('F3 - Relevé du personnel'!$P$4:$P$281,'F3 - Relevé du personnel'!$D$4:$D$281,$AM166,'F3 - Relevé du personnel'!$C$4:$C$281,'F0 - Données générales'!$K$31,'F3 - Relevé du personnel'!$B$4:$B$281,"Petit groupe")</f>
        <v>0</v>
      </c>
      <c r="AW166" s="256">
        <f>SUMIFS('F3 - Relevé du personnel'!$Q$4:$Q$281,'F3 - Relevé du personnel'!$D$4:$D$281,$AM166,'F3 - Relevé du personnel'!$C$4:$C$281,'F0 - Données générales'!$K$31,'F3 - Relevé du personnel'!$B$4:$B$281,"Petit groupe")</f>
        <v>0</v>
      </c>
      <c r="AX166" s="182">
        <f t="shared" si="107"/>
        <v>0</v>
      </c>
      <c r="AY166" s="197" t="str">
        <f t="shared" si="106"/>
        <v/>
      </c>
      <c r="AZ166" s="198" t="str">
        <f>IF(AP166=0,"",(SUMPRODUCT(($D$4:$D$253=AM166)*($C$4:$C$253='F0 - Données générales'!$K$31)*($E$4:$E$253)*($F$4:$F$253)*($B$4:$B$253="0-3 ans"))+SUMPRODUCT(($D$257:$D$281=AM166)*($C$257:$C$281='F0 - Données générales'!$K$31)*($B$257:$B$281="0-3 ans")*($E$257:$E$281)*($F$257:$F$281)))/(SUMIFS('F3 - Relevé du personnel'!$E$4:$E$281,'F3 - Relevé du personnel'!$D$4:$D$281,$AM166,'F3 - Relevé du personnel'!$C$4:$C$281,'F0 - Données générales'!$K$31,'F3 - Relevé du personnel'!$B$4:$B$281,"0-3 ans")))</f>
        <v/>
      </c>
      <c r="BS166" s="14"/>
      <c r="BT166" s="14"/>
      <c r="BU166" s="14"/>
      <c r="BV166" s="132"/>
    </row>
    <row r="167" spans="1:74" ht="15" customHeight="1" x14ac:dyDescent="0.3">
      <c r="A167" s="106">
        <v>164</v>
      </c>
      <c r="B167" s="324">
        <f>'F0 - Données générales'!$C$4</f>
        <v>7</v>
      </c>
      <c r="C167" s="106" t="s">
        <v>95</v>
      </c>
      <c r="D167" s="106"/>
      <c r="E167" s="107"/>
      <c r="F167" s="108"/>
      <c r="G167" s="109"/>
      <c r="H167" s="110">
        <f t="shared" si="90"/>
        <v>0</v>
      </c>
      <c r="I167" s="177"/>
      <c r="J167" s="118" t="str">
        <f>IF(OR(D167="",F167=""),"",(((HLOOKUP(D167,'Carrières et points'!$A$20:$AD$60,F167+2,FALSE)*'Carrières et points'!$C$7*'Carrières et points'!$C$9)+(HLOOKUP(D167,'Carrières et points'!$A$20:$AD$60,F167+2,FALSE)*'Carrières et points'!$C$13*'Carrières et points'!$C$15))*(1+'F0 - Données générales'!$I$4)+((HLOOKUP(D167,'Carrières et points'!$A$20:$AD$60,F167+2,FALSE)*'Carrières et points'!$C$7*'Carrières et points'!$C$9)+(HLOOKUP(D167,'Carrières et points'!$A$20:$AD$60,F167+2,FALSE)*'Carrières et points'!$C$13*'Carrières et points'!$C$15))/12*(1+'F0 - Données générales'!$L$13))*E167)</f>
        <v/>
      </c>
      <c r="K167" s="118" t="str">
        <f t="shared" si="91"/>
        <v/>
      </c>
      <c r="L167" s="109"/>
      <c r="M167" s="177"/>
      <c r="N167" s="118" t="str">
        <f t="shared" si="92"/>
        <v/>
      </c>
      <c r="O167" s="177"/>
      <c r="P167" s="177"/>
      <c r="Q167" s="177"/>
      <c r="R167" s="255" t="str">
        <f t="shared" si="93"/>
        <v/>
      </c>
      <c r="S167" s="120"/>
      <c r="T167" s="742" t="s">
        <v>61</v>
      </c>
      <c r="U167" s="742"/>
      <c r="V167" s="26" t="s">
        <v>99</v>
      </c>
      <c r="W167" s="741"/>
      <c r="X167" s="741"/>
      <c r="Y167" s="181">
        <f>SUMIFS('F3 - Relevé du personnel'!$E$4:$E$281,'F3 - Relevé du personnel'!$D$4:$D$281,$V167,'F3 - Relevé du personnel'!$C$4:$C$281,'F0 - Données générales'!$K$31,'F3 - Relevé du personnel'!$B$4:$B$281,"9.1")</f>
        <v>0</v>
      </c>
      <c r="Z167" s="181">
        <f>SUMIFS('F3 - Relevé du personnel'!$H$4:$H$281,'F3 - Relevé du personnel'!$D$4:$D$281,$V167,'F3 - Relevé du personnel'!$C$4:$C$281,'F0 - Données générales'!$K$31,'F3 - Relevé du personnel'!$B$4:$B$281,"9.1")</f>
        <v>0</v>
      </c>
      <c r="AA167" s="256">
        <f>SUMIFS('F3 - Relevé du personnel'!$I$4:$I$281,'F3 - Relevé du personnel'!$D$4:$D$281,$V167,'F3 - Relevé du personnel'!$C$4:$C$281,'F0 - Données générales'!$K$31,'F3 - Relevé du personnel'!$B$4:$B$281,"9.1")</f>
        <v>0</v>
      </c>
      <c r="AB167" s="256">
        <f>SUMIFS('F3 - Relevé du personnel'!$M$4:$M$281,'F3 - Relevé du personnel'!$D$4:$D$281,$V167,'F3 - Relevé du personnel'!$C$4:$C$281,'F0 - Données générales'!$K$31,'F3 - Relevé du personnel'!$B$4:$B$281,"9.1")</f>
        <v>0</v>
      </c>
      <c r="AC167" s="196">
        <f t="shared" si="96"/>
        <v>0</v>
      </c>
      <c r="AD167" s="256">
        <f>SUMIFS('F3 - Relevé du personnel'!$O$4:$O$281,'F3 - Relevé du personnel'!$D$4:$D$281,$V167,'F3 - Relevé du personnel'!$C$4:$C$281,'F0 - Données générales'!$K$31,'F3 - Relevé du personnel'!$B$4:$B$281,"9.1")</f>
        <v>0</v>
      </c>
      <c r="AE167" s="256">
        <f>SUMIFS('F3 - Relevé du personnel'!$P$4:$P$281,'F3 - Relevé du personnel'!$D$4:$D$281,$V167,'F3 - Relevé du personnel'!$C$4:$C$281,'F0 - Données générales'!$K$31,'F3 - Relevé du personnel'!$B$4:$B$281,"9.1")</f>
        <v>0</v>
      </c>
      <c r="AF167" s="256">
        <f>SUMIFS('F3 - Relevé du personnel'!$Q$4:$Q$281,'F3 - Relevé du personnel'!$D$4:$D$281,$V167,'F3 - Relevé du personnel'!$C$4:$C$281,'F0 - Données générales'!$K$31,'F3 - Relevé du personnel'!$B$4:$B$281,"9.1")</f>
        <v>0</v>
      </c>
      <c r="AG167" s="182">
        <f t="shared" si="97"/>
        <v>0</v>
      </c>
      <c r="AH167" s="197" t="str">
        <f t="shared" si="105"/>
        <v/>
      </c>
      <c r="AI167" s="198" t="str">
        <f>IF(Y167=0,"",(SUMPRODUCT(($D$4:$D$253=V167)*($C$4:$C$253='F0 - Données générales'!$K$31)*($E$4:$E$253)*($F$4:$F$253)*($B$4:$B$253="9.1"))+SUMPRODUCT(($D$257:$D$281=V167)*($C$257:$C$281='F0 - Données générales'!$K$31)*($B$257:$B$281="9.1")*($E$257:$E$281)*($F$257:$F$281)))/(SUMIFS('F3 - Relevé du personnel'!$E$4:$E$281,'F3 - Relevé du personnel'!$D$4:$D$281,$V167,'F3 - Relevé du personnel'!$C$4:$C$281,'F0 - Données générales'!$K$31,'F3 - Relevé du personnel'!$B$4:$B$281,"9.1")))</f>
        <v/>
      </c>
      <c r="AK167" s="742" t="s">
        <v>61</v>
      </c>
      <c r="AL167" s="742"/>
      <c r="AM167" s="26" t="s">
        <v>99</v>
      </c>
      <c r="AN167" s="741"/>
      <c r="AO167" s="741"/>
      <c r="AP167" s="181">
        <f>SUMIFS('F3 - Relevé du personnel'!$E$4:$E$281,'F3 - Relevé du personnel'!$D$4:$D$281,$AM167,'F3 - Relevé du personnel'!$C$4:$C$281,'F0 - Données générales'!$K$31,'F3 - Relevé du personnel'!$B$4:$B$281,"Petit groupe")</f>
        <v>0</v>
      </c>
      <c r="AQ167" s="181">
        <f>SUMIFS('F3 - Relevé du personnel'!$H$4:$H$281,'F3 - Relevé du personnel'!$D$4:$D$281,$AM167,'F3 - Relevé du personnel'!$C$4:$C$281,'F0 - Données générales'!$K$31,'F3 - Relevé du personnel'!$B$4:$B$281,"Petit groupe")</f>
        <v>0</v>
      </c>
      <c r="AR167" s="256">
        <f>SUMIFS('F3 - Relevé du personnel'!$I$4:$I$281,'F3 - Relevé du personnel'!$D$4:$D$281,$AM167,'F3 - Relevé du personnel'!$C$4:$C$281,'F0 - Données générales'!$K$31,'F3 - Relevé du personnel'!$B$4:$B$281,"Petit groupe")</f>
        <v>0</v>
      </c>
      <c r="AS167" s="256">
        <f>SUMIFS('F3 - Relevé du personnel'!$M$4:$M$281,'F3 - Relevé du personnel'!$D$4:$D$281,$AM167,'F3 - Relevé du personnel'!$C$4:$C$281,'F0 - Données générales'!$K$31,'F3 - Relevé du personnel'!$B$4:$B$281,"Petit groupe")</f>
        <v>0</v>
      </c>
      <c r="AT167" s="196">
        <f t="shared" si="98"/>
        <v>0</v>
      </c>
      <c r="AU167" s="256">
        <f>SUMIFS('F3 - Relevé du personnel'!$O$4:$O$281,'F3 - Relevé du personnel'!$D$4:$D$281,$AM167,'F3 - Relevé du personnel'!$C$4:$C$281,'F0 - Données générales'!$K$31,'F3 - Relevé du personnel'!$B$4:$B$281,"Petit groupe")</f>
        <v>0</v>
      </c>
      <c r="AV167" s="256">
        <f>SUMIFS('F3 - Relevé du personnel'!$P$4:$P$281,'F3 - Relevé du personnel'!$D$4:$D$281,$AM167,'F3 - Relevé du personnel'!$C$4:$C$281,'F0 - Données générales'!$K$31,'F3 - Relevé du personnel'!$B$4:$B$281,"Petit groupe")</f>
        <v>0</v>
      </c>
      <c r="AW167" s="256">
        <f>SUMIFS('F3 - Relevé du personnel'!$Q$4:$Q$281,'F3 - Relevé du personnel'!$D$4:$D$281,$AM167,'F3 - Relevé du personnel'!$C$4:$C$281,'F0 - Données générales'!$K$31,'F3 - Relevé du personnel'!$B$4:$B$281,"Petit groupe")</f>
        <v>0</v>
      </c>
      <c r="AX167" s="182">
        <f t="shared" si="107"/>
        <v>0</v>
      </c>
      <c r="AY167" s="197" t="str">
        <f t="shared" si="106"/>
        <v/>
      </c>
      <c r="AZ167" s="198" t="str">
        <f>IF(AP167=0,"",(SUMPRODUCT(($D$4:$D$253=AM167)*($C$4:$C$253='F0 - Données générales'!$K$31)*($E$4:$E$253)*($F$4:$F$253)*($B$4:$B$253="0-3 ans"))+SUMPRODUCT(($D$257:$D$281=AM167)*($C$257:$C$281='F0 - Données générales'!$K$31)*($B$257:$B$281="0-3 ans")*($E$257:$E$281)*($F$257:$F$281)))/(SUMIFS('F3 - Relevé du personnel'!$E$4:$E$281,'F3 - Relevé du personnel'!$D$4:$D$281,$AM167,'F3 - Relevé du personnel'!$C$4:$C$281,'F0 - Données générales'!$K$31,'F3 - Relevé du personnel'!$B$4:$B$281,"0-3 ans")))</f>
        <v/>
      </c>
      <c r="BS167" s="14"/>
      <c r="BT167" s="14"/>
      <c r="BU167" s="14"/>
      <c r="BV167" s="14"/>
    </row>
    <row r="168" spans="1:74" ht="15" customHeight="1" x14ac:dyDescent="0.3">
      <c r="A168" s="106">
        <v>165</v>
      </c>
      <c r="B168" s="324">
        <f>'F0 - Données générales'!$C$4</f>
        <v>7</v>
      </c>
      <c r="C168" s="106" t="s">
        <v>95</v>
      </c>
      <c r="D168" s="106"/>
      <c r="E168" s="107"/>
      <c r="F168" s="108"/>
      <c r="G168" s="109"/>
      <c r="H168" s="110">
        <f t="shared" si="90"/>
        <v>0</v>
      </c>
      <c r="I168" s="177"/>
      <c r="J168" s="118" t="str">
        <f>IF(OR(D168="",F168=""),"",(((HLOOKUP(D168,'Carrières et points'!$A$20:$AD$60,F168+2,FALSE)*'Carrières et points'!$C$7*'Carrières et points'!$C$9)+(HLOOKUP(D168,'Carrières et points'!$A$20:$AD$60,F168+2,FALSE)*'Carrières et points'!$C$13*'Carrières et points'!$C$15))*(1+'F0 - Données générales'!$I$4)+((HLOOKUP(D168,'Carrières et points'!$A$20:$AD$60,F168+2,FALSE)*'Carrières et points'!$C$7*'Carrières et points'!$C$9)+(HLOOKUP(D168,'Carrières et points'!$A$20:$AD$60,F168+2,FALSE)*'Carrières et points'!$C$13*'Carrières et points'!$C$15))/12*(1+'F0 - Données générales'!$L$13))*E168)</f>
        <v/>
      </c>
      <c r="K168" s="118" t="str">
        <f t="shared" si="91"/>
        <v/>
      </c>
      <c r="L168" s="109"/>
      <c r="M168" s="177"/>
      <c r="N168" s="118" t="str">
        <f t="shared" si="92"/>
        <v/>
      </c>
      <c r="O168" s="177"/>
      <c r="P168" s="177"/>
      <c r="Q168" s="177"/>
      <c r="R168" s="255" t="str">
        <f t="shared" si="93"/>
        <v/>
      </c>
      <c r="S168" s="120"/>
      <c r="T168" s="742" t="s">
        <v>61</v>
      </c>
      <c r="U168" s="742"/>
      <c r="V168" s="26" t="s">
        <v>100</v>
      </c>
      <c r="W168" s="741"/>
      <c r="X168" s="741"/>
      <c r="Y168" s="181">
        <f>SUMIFS('F3 - Relevé du personnel'!$E$4:$E$281,'F3 - Relevé du personnel'!$D$4:$D$281,$V168,'F3 - Relevé du personnel'!$C$4:$C$281,'F0 - Données générales'!$K$31,'F3 - Relevé du personnel'!$B$4:$B$281,"9.1")</f>
        <v>0</v>
      </c>
      <c r="Z168" s="181">
        <f>SUMIFS('F3 - Relevé du personnel'!$H$4:$H$281,'F3 - Relevé du personnel'!$D$4:$D$281,$V168,'F3 - Relevé du personnel'!$C$4:$C$281,'F0 - Données générales'!$K$31,'F3 - Relevé du personnel'!$B$4:$B$281,"9.1")</f>
        <v>0</v>
      </c>
      <c r="AA168" s="256">
        <f>SUMIFS('F3 - Relevé du personnel'!$I$4:$I$281,'F3 - Relevé du personnel'!$D$4:$D$281,$V168,'F3 - Relevé du personnel'!$C$4:$C$281,'F0 - Données générales'!$K$31,'F3 - Relevé du personnel'!$B$4:$B$281,"9.1")</f>
        <v>0</v>
      </c>
      <c r="AB168" s="256">
        <f>SUMIFS('F3 - Relevé du personnel'!$M$4:$M$281,'F3 - Relevé du personnel'!$D$4:$D$281,$V168,'F3 - Relevé du personnel'!$C$4:$C$281,'F0 - Données générales'!$K$31,'F3 - Relevé du personnel'!$B$4:$B$281,"9.1")</f>
        <v>0</v>
      </c>
      <c r="AC168" s="196">
        <f t="shared" si="96"/>
        <v>0</v>
      </c>
      <c r="AD168" s="256">
        <f>SUMIFS('F3 - Relevé du personnel'!$O$4:$O$281,'F3 - Relevé du personnel'!$D$4:$D$281,$V168,'F3 - Relevé du personnel'!$C$4:$C$281,'F0 - Données générales'!$K$31,'F3 - Relevé du personnel'!$B$4:$B$281,"9.1")</f>
        <v>0</v>
      </c>
      <c r="AE168" s="256">
        <f>SUMIFS('F3 - Relevé du personnel'!$P$4:$P$281,'F3 - Relevé du personnel'!$D$4:$D$281,$V168,'F3 - Relevé du personnel'!$C$4:$C$281,'F0 - Données générales'!$K$31,'F3 - Relevé du personnel'!$B$4:$B$281,"9.1")</f>
        <v>0</v>
      </c>
      <c r="AF168" s="256">
        <f>SUMIFS('F3 - Relevé du personnel'!$Q$4:$Q$281,'F3 - Relevé du personnel'!$D$4:$D$281,$V168,'F3 - Relevé du personnel'!$C$4:$C$281,'F0 - Données générales'!$K$31,'F3 - Relevé du personnel'!$B$4:$B$281,"9.1")</f>
        <v>0</v>
      </c>
      <c r="AG168" s="182">
        <f t="shared" si="97"/>
        <v>0</v>
      </c>
      <c r="AH168" s="197" t="str">
        <f t="shared" si="105"/>
        <v/>
      </c>
      <c r="AI168" s="198" t="str">
        <f>IF(Y168=0,"",(SUMPRODUCT(($D$4:$D$253=V168)*($C$4:$C$253='F0 - Données générales'!$K$31)*($E$4:$E$253)*($F$4:$F$253)*($B$4:$B$253="9.1"))+SUMPRODUCT(($D$257:$D$281=V168)*($C$257:$C$281='F0 - Données générales'!$K$31)*($B$257:$B$281="9.1")*($E$257:$E$281)*($F$257:$F$281)))/(SUMIFS('F3 - Relevé du personnel'!$E$4:$E$281,'F3 - Relevé du personnel'!$D$4:$D$281,$V168,'F3 - Relevé du personnel'!$C$4:$C$281,'F0 - Données générales'!$K$31,'F3 - Relevé du personnel'!$B$4:$B$281,"9.1")))</f>
        <v/>
      </c>
      <c r="AK168" s="742" t="s">
        <v>61</v>
      </c>
      <c r="AL168" s="742"/>
      <c r="AM168" s="26" t="s">
        <v>100</v>
      </c>
      <c r="AN168" s="741"/>
      <c r="AO168" s="741"/>
      <c r="AP168" s="181">
        <f>SUMIFS('F3 - Relevé du personnel'!$E$4:$E$281,'F3 - Relevé du personnel'!$D$4:$D$281,$AM168,'F3 - Relevé du personnel'!$C$4:$C$281,'F0 - Données générales'!$K$31,'F3 - Relevé du personnel'!$B$4:$B$281,"Petit groupe")</f>
        <v>0</v>
      </c>
      <c r="AQ168" s="181">
        <f>SUMIFS('F3 - Relevé du personnel'!$H$4:$H$281,'F3 - Relevé du personnel'!$D$4:$D$281,$AM168,'F3 - Relevé du personnel'!$C$4:$C$281,'F0 - Données générales'!$K$31,'F3 - Relevé du personnel'!$B$4:$B$281,"Petit groupe")</f>
        <v>0</v>
      </c>
      <c r="AR168" s="256">
        <f>SUMIFS('F3 - Relevé du personnel'!$I$4:$I$281,'F3 - Relevé du personnel'!$D$4:$D$281,$AM168,'F3 - Relevé du personnel'!$C$4:$C$281,'F0 - Données générales'!$K$31,'F3 - Relevé du personnel'!$B$4:$B$281,"Petit groupe")</f>
        <v>0</v>
      </c>
      <c r="AS168" s="256">
        <f>SUMIFS('F3 - Relevé du personnel'!$M$4:$M$281,'F3 - Relevé du personnel'!$D$4:$D$281,$AM168,'F3 - Relevé du personnel'!$C$4:$C$281,'F0 - Données générales'!$K$31,'F3 - Relevé du personnel'!$B$4:$B$281,"Petit groupe")</f>
        <v>0</v>
      </c>
      <c r="AT168" s="196">
        <f t="shared" si="98"/>
        <v>0</v>
      </c>
      <c r="AU168" s="256">
        <f>SUMIFS('F3 - Relevé du personnel'!$O$4:$O$281,'F3 - Relevé du personnel'!$D$4:$D$281,$AM168,'F3 - Relevé du personnel'!$C$4:$C$281,'F0 - Données générales'!$K$31,'F3 - Relevé du personnel'!$B$4:$B$281,"Petit groupe")</f>
        <v>0</v>
      </c>
      <c r="AV168" s="256">
        <f>SUMIFS('F3 - Relevé du personnel'!$P$4:$P$281,'F3 - Relevé du personnel'!$D$4:$D$281,$AM168,'F3 - Relevé du personnel'!$C$4:$C$281,'F0 - Données générales'!$K$31,'F3 - Relevé du personnel'!$B$4:$B$281,"Petit groupe")</f>
        <v>0</v>
      </c>
      <c r="AW168" s="256">
        <f>SUMIFS('F3 - Relevé du personnel'!$Q$4:$Q$281,'F3 - Relevé du personnel'!$D$4:$D$281,$AM168,'F3 - Relevé du personnel'!$C$4:$C$281,'F0 - Données générales'!$K$31,'F3 - Relevé du personnel'!$B$4:$B$281,"Petit groupe")</f>
        <v>0</v>
      </c>
      <c r="AX168" s="182">
        <f t="shared" si="107"/>
        <v>0</v>
      </c>
      <c r="AY168" s="197" t="str">
        <f t="shared" si="106"/>
        <v/>
      </c>
      <c r="AZ168" s="198" t="str">
        <f>IF(AP168=0,"",(SUMPRODUCT(($D$4:$D$253=AM168)*($C$4:$C$253='F0 - Données générales'!$K$31)*($E$4:$E$253)*($F$4:$F$253)*($B$4:$B$253="0-3 ans"))+SUMPRODUCT(($D$257:$D$281=AM168)*($C$257:$C$281='F0 - Données générales'!$K$31)*($B$257:$B$281="0-3 ans")*($E$257:$E$281)*($F$257:$F$281)))/(SUMIFS('F3 - Relevé du personnel'!$E$4:$E$281,'F3 - Relevé du personnel'!$D$4:$D$281,$AM168,'F3 - Relevé du personnel'!$C$4:$C$281,'F0 - Données générales'!$K$31,'F3 - Relevé du personnel'!$B$4:$B$281,"0-3 ans")))</f>
        <v/>
      </c>
      <c r="BS168" s="14"/>
      <c r="BT168" s="14"/>
      <c r="BU168" s="14"/>
    </row>
    <row r="169" spans="1:74" ht="15" customHeight="1" x14ac:dyDescent="0.3">
      <c r="A169" s="106">
        <v>166</v>
      </c>
      <c r="B169" s="324">
        <f>'F0 - Données générales'!$C$4</f>
        <v>7</v>
      </c>
      <c r="C169" s="106" t="s">
        <v>95</v>
      </c>
      <c r="D169" s="106"/>
      <c r="E169" s="107"/>
      <c r="F169" s="108"/>
      <c r="G169" s="109"/>
      <c r="H169" s="110">
        <f t="shared" si="90"/>
        <v>0</v>
      </c>
      <c r="I169" s="177"/>
      <c r="J169" s="118" t="str">
        <f>IF(OR(D169="",F169=""),"",(((HLOOKUP(D169,'Carrières et points'!$A$20:$AD$60,F169+2,FALSE)*'Carrières et points'!$C$7*'Carrières et points'!$C$9)+(HLOOKUP(D169,'Carrières et points'!$A$20:$AD$60,F169+2,FALSE)*'Carrières et points'!$C$13*'Carrières et points'!$C$15))*(1+'F0 - Données générales'!$I$4)+((HLOOKUP(D169,'Carrières et points'!$A$20:$AD$60,F169+2,FALSE)*'Carrières et points'!$C$7*'Carrières et points'!$C$9)+(HLOOKUP(D169,'Carrières et points'!$A$20:$AD$60,F169+2,FALSE)*'Carrières et points'!$C$13*'Carrières et points'!$C$15))/12*(1+'F0 - Données générales'!$L$13))*E169)</f>
        <v/>
      </c>
      <c r="K169" s="118" t="str">
        <f t="shared" si="91"/>
        <v/>
      </c>
      <c r="L169" s="109"/>
      <c r="M169" s="177"/>
      <c r="N169" s="118" t="str">
        <f t="shared" si="92"/>
        <v/>
      </c>
      <c r="O169" s="177"/>
      <c r="P169" s="177"/>
      <c r="Q169" s="177"/>
      <c r="R169" s="255" t="str">
        <f t="shared" si="93"/>
        <v/>
      </c>
      <c r="S169" s="120"/>
      <c r="T169" s="743"/>
      <c r="U169" s="743"/>
      <c r="V169" s="749" t="s">
        <v>168</v>
      </c>
      <c r="W169" s="749"/>
      <c r="X169" s="749"/>
      <c r="Y169" s="199">
        <f>SUM(Y159:Y168)</f>
        <v>0</v>
      </c>
      <c r="Z169" s="199">
        <f>SUM(Z159:Z168)</f>
        <v>0</v>
      </c>
      <c r="AA169" s="200">
        <f>SUM(AA159:AA168)</f>
        <v>0</v>
      </c>
      <c r="AB169" s="200">
        <f>SUM(AB159:AB168)</f>
        <v>0</v>
      </c>
      <c r="AC169" s="200">
        <f t="shared" si="96"/>
        <v>0</v>
      </c>
      <c r="AD169" s="200">
        <f>SUM(AD159:AD168)</f>
        <v>0</v>
      </c>
      <c r="AE169" s="200">
        <f>SUM(AE159:AE168)</f>
        <v>0</v>
      </c>
      <c r="AF169" s="200">
        <f>SUM(AF159:AF168)</f>
        <v>0</v>
      </c>
      <c r="AG169" s="201">
        <f t="shared" si="97"/>
        <v>0</v>
      </c>
      <c r="AH169" s="201" t="str">
        <f t="shared" si="105"/>
        <v/>
      </c>
      <c r="AI169" s="202"/>
      <c r="AK169" s="743"/>
      <c r="AL169" s="743"/>
      <c r="AM169" s="749" t="s">
        <v>168</v>
      </c>
      <c r="AN169" s="749"/>
      <c r="AO169" s="749"/>
      <c r="AP169" s="199">
        <f>SUM(AP159:AP168)</f>
        <v>0</v>
      </c>
      <c r="AQ169" s="199">
        <f>SUM(AQ159:AQ168)</f>
        <v>0</v>
      </c>
      <c r="AR169" s="200">
        <f>SUM(AR159:AR168)</f>
        <v>0</v>
      </c>
      <c r="AS169" s="200">
        <f>SUM(AS159:AS168)</f>
        <v>0</v>
      </c>
      <c r="AT169" s="200">
        <f t="shared" si="98"/>
        <v>0</v>
      </c>
      <c r="AU169" s="200">
        <f>SUM(AU159:AU168)</f>
        <v>0</v>
      </c>
      <c r="AV169" s="200">
        <f>SUM(AV159:AV168)</f>
        <v>0</v>
      </c>
      <c r="AW169" s="200">
        <f>SUM(AW159:AW168)</f>
        <v>0</v>
      </c>
      <c r="AX169" s="201">
        <f>AR169+AS169-SUM(AU169:AW169)</f>
        <v>0</v>
      </c>
      <c r="AY169" s="201" t="str">
        <f t="shared" si="106"/>
        <v/>
      </c>
      <c r="AZ169" s="202"/>
      <c r="BS169" s="14"/>
      <c r="BT169" s="14"/>
      <c r="BU169" s="14"/>
      <c r="BV169" s="14"/>
    </row>
    <row r="170" spans="1:74" ht="15" customHeight="1" x14ac:dyDescent="0.3">
      <c r="A170" s="106">
        <v>167</v>
      </c>
      <c r="B170" s="324">
        <f>'F0 - Données générales'!$C$4</f>
        <v>7</v>
      </c>
      <c r="C170" s="106" t="s">
        <v>95</v>
      </c>
      <c r="D170" s="106"/>
      <c r="E170" s="107"/>
      <c r="F170" s="108"/>
      <c r="G170" s="109"/>
      <c r="H170" s="110">
        <f t="shared" si="90"/>
        <v>0</v>
      </c>
      <c r="I170" s="177"/>
      <c r="J170" s="118" t="str">
        <f>IF(OR(D170="",F170=""),"",(((HLOOKUP(D170,'Carrières et points'!$A$20:$AD$60,F170+2,FALSE)*'Carrières et points'!$C$7*'Carrières et points'!$C$9)+(HLOOKUP(D170,'Carrières et points'!$A$20:$AD$60,F170+2,FALSE)*'Carrières et points'!$C$13*'Carrières et points'!$C$15))*(1+'F0 - Données générales'!$I$4)+((HLOOKUP(D170,'Carrières et points'!$A$20:$AD$60,F170+2,FALSE)*'Carrières et points'!$C$7*'Carrières et points'!$C$9)+(HLOOKUP(D170,'Carrières et points'!$A$20:$AD$60,F170+2,FALSE)*'Carrières et points'!$C$13*'Carrières et points'!$C$15))/12*(1+'F0 - Données générales'!$L$13))*E170)</f>
        <v/>
      </c>
      <c r="K170" s="118" t="str">
        <f t="shared" si="91"/>
        <v/>
      </c>
      <c r="L170" s="109"/>
      <c r="M170" s="177"/>
      <c r="N170" s="118" t="str">
        <f t="shared" si="92"/>
        <v/>
      </c>
      <c r="O170" s="177"/>
      <c r="P170" s="177"/>
      <c r="Q170" s="177"/>
      <c r="R170" s="255" t="str">
        <f t="shared" si="93"/>
        <v/>
      </c>
      <c r="S170" s="120"/>
      <c r="T170" s="750" t="s">
        <v>57</v>
      </c>
      <c r="U170" s="750"/>
      <c r="V170" s="750"/>
      <c r="W170" s="750"/>
      <c r="X170" s="750"/>
      <c r="Y170" s="183">
        <f t="shared" ref="Y170:AG170" si="108">Y149+Y156+Y158+Y169</f>
        <v>0</v>
      </c>
      <c r="Z170" s="183">
        <f t="shared" si="108"/>
        <v>0</v>
      </c>
      <c r="AA170" s="184">
        <f t="shared" si="108"/>
        <v>0</v>
      </c>
      <c r="AB170" s="184">
        <f t="shared" si="108"/>
        <v>0</v>
      </c>
      <c r="AC170" s="184">
        <f t="shared" si="108"/>
        <v>0</v>
      </c>
      <c r="AD170" s="184">
        <f t="shared" si="108"/>
        <v>0</v>
      </c>
      <c r="AE170" s="184">
        <f t="shared" si="108"/>
        <v>0</v>
      </c>
      <c r="AF170" s="184">
        <f t="shared" si="108"/>
        <v>0</v>
      </c>
      <c r="AG170" s="185">
        <f t="shared" si="108"/>
        <v>0</v>
      </c>
      <c r="AH170" s="185" t="str">
        <f t="shared" si="105"/>
        <v/>
      </c>
      <c r="AI170" s="186" t="str">
        <f>IF(Y170=0,"",(SUMPRODUCT(($C$4:$C$253='F0 - Données générales'!$K$31)*($E$4:$E$253)*($F$4:$F$253)*($B$4:$B$253="9.1"))+SUMPRODUCT(($C$257:$C$281='F0 - Données générales'!$K$31)*($B$257:$B$281="9.1")*($E$257:$E$281)*($F$257:$F$281)))/(SUMIFS('F3 - Relevé du personnel'!$E$4:$E$281,'F3 - Relevé du personnel'!$C$4:$C$281,'F0 - Données générales'!$K$31,'F3 - Relevé du personnel'!$B$4:$B$281,"9.1")))</f>
        <v/>
      </c>
      <c r="AK170" s="750" t="s">
        <v>57</v>
      </c>
      <c r="AL170" s="750"/>
      <c r="AM170" s="750"/>
      <c r="AN170" s="750"/>
      <c r="AO170" s="750"/>
      <c r="AP170" s="183">
        <f t="shared" ref="AP170:AX170" si="109">AP149+AP156+AP158+AP169</f>
        <v>0</v>
      </c>
      <c r="AQ170" s="183">
        <f t="shared" si="109"/>
        <v>0</v>
      </c>
      <c r="AR170" s="184">
        <f t="shared" si="109"/>
        <v>0</v>
      </c>
      <c r="AS170" s="184">
        <f t="shared" si="109"/>
        <v>0</v>
      </c>
      <c r="AT170" s="184">
        <f t="shared" si="109"/>
        <v>0</v>
      </c>
      <c r="AU170" s="184">
        <f t="shared" si="109"/>
        <v>0</v>
      </c>
      <c r="AV170" s="184">
        <f t="shared" si="109"/>
        <v>0</v>
      </c>
      <c r="AW170" s="184">
        <f t="shared" si="109"/>
        <v>0</v>
      </c>
      <c r="AX170" s="185">
        <f t="shared" si="109"/>
        <v>0</v>
      </c>
      <c r="AY170" s="185" t="str">
        <f t="shared" si="106"/>
        <v/>
      </c>
      <c r="AZ170" s="186" t="str">
        <f>IF(AP170=0,"",(SUMPRODUCT(($C$4:$C$253='F0 - Données générales'!$K$31)*($E$4:$E$253)*($F$4:$F$253)*($B$4:$B$253="0-3 ans"))+SUMPRODUCT(($C$257:$C$281='F0 - Données générales'!$K$31)*($B$257:$B$281="0-3 ans")*($E$257:$E$281)*($F$257:$F$281)))/(SUMIFS('F3 - Relevé du personnel'!$E$4:$E$281,'F3 - Relevé du personnel'!$C$4:$C$281,'F0 - Données générales'!$K$31,'F3 - Relevé du personnel'!$B$4:$B$281,"0-3 ans")))</f>
        <v/>
      </c>
      <c r="BS170" s="14"/>
      <c r="BT170" s="14"/>
      <c r="BU170" s="14"/>
      <c r="BV170" s="14"/>
    </row>
    <row r="171" spans="1:74" ht="15" customHeight="1" x14ac:dyDescent="0.3">
      <c r="A171" s="106">
        <v>168</v>
      </c>
      <c r="B171" s="324">
        <f>'F0 - Données générales'!$C$4</f>
        <v>7</v>
      </c>
      <c r="C171" s="106" t="s">
        <v>95</v>
      </c>
      <c r="D171" s="106"/>
      <c r="E171" s="107"/>
      <c r="F171" s="108"/>
      <c r="G171" s="109"/>
      <c r="H171" s="110">
        <f t="shared" si="90"/>
        <v>0</v>
      </c>
      <c r="I171" s="177"/>
      <c r="J171" s="118" t="str">
        <f>IF(OR(D171="",F171=""),"",(((HLOOKUP(D171,'Carrières et points'!$A$20:$AD$60,F171+2,FALSE)*'Carrières et points'!$C$7*'Carrières et points'!$C$9)+(HLOOKUP(D171,'Carrières et points'!$A$20:$AD$60,F171+2,FALSE)*'Carrières et points'!$C$13*'Carrières et points'!$C$15))*(1+'F0 - Données générales'!$I$4)+((HLOOKUP(D171,'Carrières et points'!$A$20:$AD$60,F171+2,FALSE)*'Carrières et points'!$C$7*'Carrières et points'!$C$9)+(HLOOKUP(D171,'Carrières et points'!$A$20:$AD$60,F171+2,FALSE)*'Carrières et points'!$C$13*'Carrières et points'!$C$15))/12*(1+'F0 - Données générales'!$L$13))*E171)</f>
        <v/>
      </c>
      <c r="K171" s="118" t="str">
        <f t="shared" si="91"/>
        <v/>
      </c>
      <c r="L171" s="109"/>
      <c r="M171" s="177"/>
      <c r="N171" s="118" t="str">
        <f t="shared" si="92"/>
        <v/>
      </c>
      <c r="O171" s="177"/>
      <c r="P171" s="177"/>
      <c r="Q171" s="177"/>
      <c r="R171" s="255" t="str">
        <f t="shared" si="93"/>
        <v/>
      </c>
      <c r="S171" s="120"/>
      <c r="T171" s="120"/>
      <c r="U171" s="120"/>
      <c r="V171" s="120"/>
      <c r="W171" s="120"/>
      <c r="X171" s="120"/>
      <c r="Y171" s="120"/>
      <c r="Z171" s="120"/>
      <c r="AA171" s="120"/>
      <c r="AB171" s="120"/>
      <c r="AC171" s="120"/>
      <c r="AD171" s="120"/>
      <c r="AE171" s="120"/>
      <c r="AF171" s="120"/>
      <c r="AG171" s="120"/>
      <c r="AH171" s="120"/>
      <c r="AI171" s="120"/>
      <c r="AK171" s="120"/>
      <c r="AL171" s="120"/>
      <c r="AM171" s="120"/>
      <c r="AN171" s="120"/>
      <c r="AO171" s="120"/>
      <c r="AP171" s="120"/>
      <c r="AQ171" s="120"/>
      <c r="AR171" s="120"/>
      <c r="AS171" s="120"/>
      <c r="AT171" s="120"/>
      <c r="AU171" s="120"/>
      <c r="AV171" s="120"/>
      <c r="AW171" s="120"/>
      <c r="AX171" s="120"/>
      <c r="AY171" s="120"/>
      <c r="AZ171" s="120"/>
      <c r="BS171" s="14"/>
      <c r="BT171" s="14"/>
      <c r="BU171" s="14"/>
      <c r="BV171" s="14"/>
    </row>
    <row r="172" spans="1:74" ht="15" customHeight="1" x14ac:dyDescent="0.3">
      <c r="A172" s="106">
        <v>169</v>
      </c>
      <c r="B172" s="324">
        <f>'F0 - Données générales'!$C$4</f>
        <v>7</v>
      </c>
      <c r="C172" s="106" t="s">
        <v>95</v>
      </c>
      <c r="D172" s="106"/>
      <c r="E172" s="107"/>
      <c r="F172" s="108"/>
      <c r="G172" s="109"/>
      <c r="H172" s="110">
        <f t="shared" si="90"/>
        <v>0</v>
      </c>
      <c r="I172" s="177"/>
      <c r="J172" s="118" t="str">
        <f>IF(OR(D172="",F172=""),"",(((HLOOKUP(D172,'Carrières et points'!$A$20:$AD$60,F172+2,FALSE)*'Carrières et points'!$C$7*'Carrières et points'!$C$9)+(HLOOKUP(D172,'Carrières et points'!$A$20:$AD$60,F172+2,FALSE)*'Carrières et points'!$C$13*'Carrières et points'!$C$15))*(1+'F0 - Données générales'!$I$4)+((HLOOKUP(D172,'Carrières et points'!$A$20:$AD$60,F172+2,FALSE)*'Carrières et points'!$C$7*'Carrières et points'!$C$9)+(HLOOKUP(D172,'Carrières et points'!$A$20:$AD$60,F172+2,FALSE)*'Carrières et points'!$C$13*'Carrières et points'!$C$15))/12*(1+'F0 - Données générales'!$L$13))*E172)</f>
        <v/>
      </c>
      <c r="K172" s="118" t="str">
        <f t="shared" si="91"/>
        <v/>
      </c>
      <c r="L172" s="109"/>
      <c r="M172" s="177"/>
      <c r="N172" s="118" t="str">
        <f t="shared" si="92"/>
        <v/>
      </c>
      <c r="O172" s="177"/>
      <c r="P172" s="177"/>
      <c r="Q172" s="177"/>
      <c r="R172" s="255" t="str">
        <f t="shared" si="93"/>
        <v/>
      </c>
      <c r="S172" s="120"/>
      <c r="T172" s="1" t="s">
        <v>426</v>
      </c>
      <c r="U172" s="1"/>
      <c r="V172" s="1"/>
      <c r="W172"/>
      <c r="X172"/>
      <c r="Y172"/>
      <c r="Z172"/>
      <c r="AA172"/>
      <c r="AB172"/>
      <c r="AC172"/>
      <c r="AD172"/>
      <c r="AE172"/>
      <c r="AF172"/>
      <c r="AG172"/>
      <c r="AH172"/>
      <c r="AI172"/>
      <c r="AK172" s="1"/>
      <c r="AL172" s="1"/>
      <c r="AM172" s="1"/>
      <c r="AN172"/>
      <c r="AO172"/>
      <c r="AP172"/>
      <c r="AQ172"/>
      <c r="AR172"/>
      <c r="AS172"/>
      <c r="AT172"/>
      <c r="AU172"/>
      <c r="AV172"/>
      <c r="AW172"/>
      <c r="AX172"/>
      <c r="AY172"/>
      <c r="AZ172"/>
      <c r="BS172" s="14"/>
      <c r="BT172" s="14"/>
      <c r="BU172" s="132"/>
      <c r="BV172" s="14"/>
    </row>
    <row r="173" spans="1:74" ht="15" customHeight="1" x14ac:dyDescent="0.3">
      <c r="A173" s="106">
        <v>170</v>
      </c>
      <c r="B173" s="324">
        <f>'F0 - Données générales'!$C$4</f>
        <v>7</v>
      </c>
      <c r="C173" s="106" t="s">
        <v>95</v>
      </c>
      <c r="D173" s="106"/>
      <c r="E173" s="107"/>
      <c r="F173" s="108"/>
      <c r="G173" s="109"/>
      <c r="H173" s="110">
        <f t="shared" si="90"/>
        <v>0</v>
      </c>
      <c r="I173" s="177"/>
      <c r="J173" s="118" t="str">
        <f>IF(OR(D173="",F173=""),"",(((HLOOKUP(D173,'Carrières et points'!$A$20:$AD$60,F173+2,FALSE)*'Carrières et points'!$C$7*'Carrières et points'!$C$9)+(HLOOKUP(D173,'Carrières et points'!$A$20:$AD$60,F173+2,FALSE)*'Carrières et points'!$C$13*'Carrières et points'!$C$15))*(1+'F0 - Données générales'!$I$4)+((HLOOKUP(D173,'Carrières et points'!$A$20:$AD$60,F173+2,FALSE)*'Carrières et points'!$C$7*'Carrières et points'!$C$9)+(HLOOKUP(D173,'Carrières et points'!$A$20:$AD$60,F173+2,FALSE)*'Carrières et points'!$C$13*'Carrières et points'!$C$15))/12*(1+'F0 - Données générales'!$L$13))*E173)</f>
        <v/>
      </c>
      <c r="K173" s="118" t="str">
        <f t="shared" si="91"/>
        <v/>
      </c>
      <c r="L173" s="109"/>
      <c r="M173" s="177"/>
      <c r="N173" s="118" t="str">
        <f t="shared" si="92"/>
        <v/>
      </c>
      <c r="O173" s="177"/>
      <c r="P173" s="177"/>
      <c r="Q173" s="177"/>
      <c r="R173" s="255" t="str">
        <f t="shared" si="93"/>
        <v/>
      </c>
      <c r="S173" s="120"/>
      <c r="T173" s="747" t="s">
        <v>58</v>
      </c>
      <c r="U173" s="747"/>
      <c r="V173" s="747" t="s">
        <v>55</v>
      </c>
      <c r="W173" s="747"/>
      <c r="X173" s="747"/>
      <c r="Y173" s="298" t="s">
        <v>403</v>
      </c>
      <c r="Z173" s="298" t="s">
        <v>404</v>
      </c>
      <c r="AA173" s="298" t="s">
        <v>299</v>
      </c>
      <c r="AB173" s="298" t="s">
        <v>304</v>
      </c>
      <c r="AC173" s="298" t="s">
        <v>733</v>
      </c>
      <c r="AD173" s="298" t="s">
        <v>284</v>
      </c>
      <c r="AE173" s="298" t="s">
        <v>323</v>
      </c>
      <c r="AF173" s="298" t="s">
        <v>60</v>
      </c>
      <c r="AG173" s="298" t="s">
        <v>734</v>
      </c>
      <c r="AH173" s="298" t="s">
        <v>735</v>
      </c>
      <c r="AI173" s="298" t="s">
        <v>313</v>
      </c>
      <c r="AK173" s="757"/>
      <c r="AL173" s="757"/>
      <c r="AM173" s="757"/>
      <c r="AN173" s="757"/>
      <c r="AO173" s="757"/>
      <c r="AP173" s="299"/>
      <c r="AQ173" s="299"/>
      <c r="AR173" s="299"/>
      <c r="AS173" s="299"/>
      <c r="AT173" s="299"/>
      <c r="AU173" s="299"/>
      <c r="AV173" s="299"/>
      <c r="AW173" s="299"/>
      <c r="AX173" s="299"/>
      <c r="AY173" s="299"/>
      <c r="AZ173" s="299"/>
      <c r="BS173" s="132"/>
      <c r="BT173" s="132"/>
      <c r="BU173" s="14"/>
      <c r="BV173" s="14"/>
    </row>
    <row r="174" spans="1:74" ht="15" customHeight="1" x14ac:dyDescent="0.3">
      <c r="A174" s="106">
        <v>171</v>
      </c>
      <c r="B174" s="324">
        <f>'F0 - Données générales'!$C$4</f>
        <v>7</v>
      </c>
      <c r="C174" s="106" t="s">
        <v>95</v>
      </c>
      <c r="D174" s="106"/>
      <c r="E174" s="107"/>
      <c r="F174" s="108"/>
      <c r="G174" s="109"/>
      <c r="H174" s="110">
        <f t="shared" si="90"/>
        <v>0</v>
      </c>
      <c r="I174" s="177"/>
      <c r="J174" s="118" t="str">
        <f>IF(OR(D174="",F174=""),"",(((HLOOKUP(D174,'Carrières et points'!$A$20:$AD$60,F174+2,FALSE)*'Carrières et points'!$C$7*'Carrières et points'!$C$9)+(HLOOKUP(D174,'Carrières et points'!$A$20:$AD$60,F174+2,FALSE)*'Carrières et points'!$C$13*'Carrières et points'!$C$15))*(1+'F0 - Données générales'!$I$4)+((HLOOKUP(D174,'Carrières et points'!$A$20:$AD$60,F174+2,FALSE)*'Carrières et points'!$C$7*'Carrières et points'!$C$9)+(HLOOKUP(D174,'Carrières et points'!$A$20:$AD$60,F174+2,FALSE)*'Carrières et points'!$C$13*'Carrières et points'!$C$15))/12*(1+'F0 - Données générales'!$L$13))*E174)</f>
        <v/>
      </c>
      <c r="K174" s="118" t="str">
        <f t="shared" si="91"/>
        <v/>
      </c>
      <c r="L174" s="109"/>
      <c r="M174" s="177"/>
      <c r="N174" s="118" t="str">
        <f t="shared" si="92"/>
        <v/>
      </c>
      <c r="O174" s="177"/>
      <c r="P174" s="177"/>
      <c r="Q174" s="177"/>
      <c r="R174" s="255" t="str">
        <f t="shared" si="93"/>
        <v/>
      </c>
      <c r="S174" s="120"/>
      <c r="T174" s="742" t="s">
        <v>61</v>
      </c>
      <c r="U174" s="742"/>
      <c r="V174" s="26" t="s">
        <v>62</v>
      </c>
      <c r="W174" s="748" t="s">
        <v>63</v>
      </c>
      <c r="X174" s="748"/>
      <c r="Y174" s="181">
        <f>SUMIFS('F3 - Relevé du personnel'!$E$4:$E$281,'F3 - Relevé du personnel'!$D$4:$D$281,$V174,'F3 - Relevé du personnel'!$C$4:$C$281,'F0 - Données générales'!$K$31,'F3 - Relevé du personnel'!$B$4:$B$281,11)</f>
        <v>0</v>
      </c>
      <c r="Z174" s="181">
        <f>SUMIFS('F3 - Relevé du personnel'!$H$4:$H$281,'F3 - Relevé du personnel'!$D$4:$D$281,$V174,'F3 - Relevé du personnel'!$C$4:$C$281,'F0 - Données générales'!$K$31,'F3 - Relevé du personnel'!$B$4:$B$281,11)</f>
        <v>0</v>
      </c>
      <c r="AA174" s="256">
        <f>SUMIFS('F3 - Relevé du personnel'!$I$4:$I$281,'F3 - Relevé du personnel'!$D$4:$D$281,$V174,'F3 - Relevé du personnel'!$C$4:$C$281,'F0 - Données générales'!$K$31,'F3 - Relevé du personnel'!$B$4:$B$281,11)</f>
        <v>0</v>
      </c>
      <c r="AB174" s="256">
        <f>SUMIFS('F3 - Relevé du personnel'!$M$4:$M$281,'F3 - Relevé du personnel'!$D$4:$D$281,$V174,'F3 - Relevé du personnel'!$C$4:$C$281,'F0 - Données générales'!$K$31,'F3 - Relevé du personnel'!$B$4:$B$281,11)</f>
        <v>0</v>
      </c>
      <c r="AC174" s="196">
        <f t="shared" ref="AC174:AC203" si="110">(AA174+AB174)</f>
        <v>0</v>
      </c>
      <c r="AD174" s="256">
        <f>SUMIFS('F3 - Relevé du personnel'!$O$4:$O$281,'F3 - Relevé du personnel'!$D$4:$D$281,$V174,'F3 - Relevé du personnel'!$C$4:$C$281,'F0 - Données générales'!$K$31,'F3 - Relevé du personnel'!$B$4:$B$281,11)</f>
        <v>0</v>
      </c>
      <c r="AE174" s="256">
        <f>SUMIFS('F3 - Relevé du personnel'!$P$4:$P$281,'F3 - Relevé du personnel'!$D$4:$D$281,$V174,'F3 - Relevé du personnel'!$C$4:$C$281,'F0 - Données générales'!$K$31,'F3 - Relevé du personnel'!$B$4:$B$281,11)</f>
        <v>0</v>
      </c>
      <c r="AF174" s="256">
        <f>SUMIFS('F3 - Relevé du personnel'!$Q$4:$Q$281,'F3 - Relevé du personnel'!$D$4:$D$281,$V174,'F3 - Relevé du personnel'!$C$4:$C$281,'F0 - Données générales'!$K$31,'F3 - Relevé du personnel'!$B$4:$B$281,11)</f>
        <v>0</v>
      </c>
      <c r="AG174" s="182">
        <f t="shared" ref="AG174:AG203" si="111">AA174+AB174-SUM(AD174:AF174)</f>
        <v>0</v>
      </c>
      <c r="AH174" s="197" t="str">
        <f>IF(Y174=0,"",(AG174)/Y174)</f>
        <v/>
      </c>
      <c r="AI174" s="198" t="str">
        <f>IF(Y174=0,"",(SUMPRODUCT(($D$4:$D$253=V174)*($C$4:$C$253='F0 - Données générales'!$K$31)*($E$4:$E$253)*($F$4:$F$253)*($B$4:$B$253=11))+SUMPRODUCT(($D$257:$D$281=V174)*($C$257:$C$281='F0 - Données générales'!$K$31)*($B$257:$B$281=11)*($E$257:$E$281)*($F$257:$F$281)))/(SUMIFS('F3 - Relevé du personnel'!$E$4:$E$281,'F3 - Relevé du personnel'!$D$4:$D$281,$V174,'F3 - Relevé du personnel'!$C$4:$C$281,'F0 - Données générales'!$K$31,'F3 - Relevé du personnel'!$B$4:$B$281,11)))</f>
        <v/>
      </c>
      <c r="AK174" s="752"/>
      <c r="AL174" s="752"/>
      <c r="AM174" s="194"/>
      <c r="AN174" s="756"/>
      <c r="AO174" s="756"/>
      <c r="AP174" s="195"/>
      <c r="AQ174" s="195"/>
      <c r="AR174" s="300"/>
      <c r="AS174" s="300"/>
      <c r="AT174" s="301"/>
      <c r="AU174" s="300"/>
      <c r="AV174" s="300"/>
      <c r="AW174" s="300"/>
      <c r="AX174" s="300"/>
      <c r="AY174" s="300"/>
      <c r="AZ174" s="302"/>
      <c r="BS174" s="14"/>
      <c r="BT174" s="14"/>
      <c r="BU174" s="132"/>
      <c r="BV174" s="14"/>
    </row>
    <row r="175" spans="1:74" ht="15" customHeight="1" x14ac:dyDescent="0.3">
      <c r="A175" s="106">
        <v>172</v>
      </c>
      <c r="B175" s="324">
        <f>'F0 - Données générales'!$C$4</f>
        <v>7</v>
      </c>
      <c r="C175" s="106" t="s">
        <v>95</v>
      </c>
      <c r="D175" s="106"/>
      <c r="E175" s="107"/>
      <c r="F175" s="108"/>
      <c r="G175" s="109"/>
      <c r="H175" s="110">
        <f t="shared" si="90"/>
        <v>0</v>
      </c>
      <c r="I175" s="177"/>
      <c r="J175" s="118" t="str">
        <f>IF(OR(D175="",F175=""),"",(((HLOOKUP(D175,'Carrières et points'!$A$20:$AD$60,F175+2,FALSE)*'Carrières et points'!$C$7*'Carrières et points'!$C$9)+(HLOOKUP(D175,'Carrières et points'!$A$20:$AD$60,F175+2,FALSE)*'Carrières et points'!$C$13*'Carrières et points'!$C$15))*(1+'F0 - Données générales'!$I$4)+((HLOOKUP(D175,'Carrières et points'!$A$20:$AD$60,F175+2,FALSE)*'Carrières et points'!$C$7*'Carrières et points'!$C$9)+(HLOOKUP(D175,'Carrières et points'!$A$20:$AD$60,F175+2,FALSE)*'Carrières et points'!$C$13*'Carrières et points'!$C$15))/12*(1+'F0 - Données générales'!$L$13))*E175)</f>
        <v/>
      </c>
      <c r="K175" s="118" t="str">
        <f t="shared" si="91"/>
        <v/>
      </c>
      <c r="L175" s="109"/>
      <c r="M175" s="177"/>
      <c r="N175" s="118" t="str">
        <f t="shared" si="92"/>
        <v/>
      </c>
      <c r="O175" s="177"/>
      <c r="P175" s="177"/>
      <c r="Q175" s="177"/>
      <c r="R175" s="255" t="str">
        <f t="shared" si="93"/>
        <v/>
      </c>
      <c r="S175" s="120"/>
      <c r="T175" s="742" t="s">
        <v>65</v>
      </c>
      <c r="U175" s="742"/>
      <c r="V175" s="26" t="s">
        <v>66</v>
      </c>
      <c r="W175" s="741" t="s">
        <v>67</v>
      </c>
      <c r="X175" s="741"/>
      <c r="Y175" s="181">
        <f>SUMIFS('F3 - Relevé du personnel'!$E$4:$E$281,'F3 - Relevé du personnel'!$D$4:$D$281,$V175,'F3 - Relevé du personnel'!$C$4:$C$281,'F0 - Données générales'!$K$31,'F3 - Relevé du personnel'!$B$4:$B$281,11)</f>
        <v>0</v>
      </c>
      <c r="Z175" s="181">
        <f>SUMIFS('F3 - Relevé du personnel'!$H$4:$H$281,'F3 - Relevé du personnel'!$D$4:$D$281,$V175,'F3 - Relevé du personnel'!$C$4:$C$281,'F0 - Données générales'!$K$31,'F3 - Relevé du personnel'!$B$4:$B$281,11)</f>
        <v>0</v>
      </c>
      <c r="AA175" s="256">
        <f>SUMIFS('F3 - Relevé du personnel'!$I$4:$I$281,'F3 - Relevé du personnel'!$D$4:$D$281,$V175,'F3 - Relevé du personnel'!$C$4:$C$281,'F0 - Données générales'!$K$31,'F3 - Relevé du personnel'!$B$4:$B$281,11)</f>
        <v>0</v>
      </c>
      <c r="AB175" s="256">
        <f>SUMIFS('F3 - Relevé du personnel'!$M$4:$M$281,'F3 - Relevé du personnel'!$D$4:$D$281,$V175,'F3 - Relevé du personnel'!$C$4:$C$281,'F0 - Données générales'!$K$31,'F3 - Relevé du personnel'!$B$4:$B$281,11)</f>
        <v>0</v>
      </c>
      <c r="AC175" s="196">
        <f t="shared" si="110"/>
        <v>0</v>
      </c>
      <c r="AD175" s="256">
        <f>SUMIFS('F3 - Relevé du personnel'!$O$4:$O$281,'F3 - Relevé du personnel'!$D$4:$D$281,$V175,'F3 - Relevé du personnel'!$C$4:$C$281,'F0 - Données générales'!$K$31,'F3 - Relevé du personnel'!$B$4:$B$281,11)</f>
        <v>0</v>
      </c>
      <c r="AE175" s="256">
        <f>SUMIFS('F3 - Relevé du personnel'!$P$4:$P$281,'F3 - Relevé du personnel'!$D$4:$D$281,$V175,'F3 - Relevé du personnel'!$C$4:$C$281,'F0 - Données générales'!$K$31,'F3 - Relevé du personnel'!$B$4:$B$281,11)</f>
        <v>0</v>
      </c>
      <c r="AF175" s="256">
        <f>SUMIFS('F3 - Relevé du personnel'!$Q$4:$Q$281,'F3 - Relevé du personnel'!$D$4:$D$281,$V175,'F3 - Relevé du personnel'!$C$4:$C$281,'F0 - Données générales'!$K$31,'F3 - Relevé du personnel'!$B$4:$B$281,11)</f>
        <v>0</v>
      </c>
      <c r="AG175" s="182">
        <f t="shared" si="111"/>
        <v>0</v>
      </c>
      <c r="AH175" s="197" t="str">
        <f t="shared" ref="AH175:AH190" si="112">IF(Y175=0,"",(AG175)/Y175)</f>
        <v/>
      </c>
      <c r="AI175" s="198" t="str">
        <f>IF(Y175=0,"",(SUMPRODUCT(($D$4:$D$253=V175)*($C$4:$C$253='F0 - Données générales'!$K$31)*($E$4:$E$253)*($F$4:$F$253)*($B$4:$B$253=11))+SUMPRODUCT(($D$257:$D$281=V175)*($C$257:$C$281='F0 - Données générales'!$K$31)*($B$257:$B$281=11)*($E$257:$E$281)*($F$257:$F$281)))/(SUMIFS('F3 - Relevé du personnel'!$E$4:$E$281,'F3 - Relevé du personnel'!$D$4:$D$281,$V175,'F3 - Relevé du personnel'!$C$4:$C$281,'F0 - Données générales'!$K$31,'F3 - Relevé du personnel'!$B$4:$B$281,11)))</f>
        <v/>
      </c>
      <c r="AK175" s="752"/>
      <c r="AL175" s="752"/>
      <c r="AM175" s="194"/>
      <c r="AN175" s="753"/>
      <c r="AO175" s="753"/>
      <c r="AP175" s="195"/>
      <c r="AQ175" s="195"/>
      <c r="AR175" s="300"/>
      <c r="AS175" s="300"/>
      <c r="AT175" s="301"/>
      <c r="AU175" s="300"/>
      <c r="AV175" s="300"/>
      <c r="AW175" s="300"/>
      <c r="AX175" s="300"/>
      <c r="AY175" s="300"/>
      <c r="AZ175" s="302"/>
      <c r="BS175" s="132"/>
      <c r="BT175" s="132"/>
      <c r="BU175" s="14"/>
      <c r="BV175" s="14"/>
    </row>
    <row r="176" spans="1:74" ht="15" customHeight="1" x14ac:dyDescent="0.3">
      <c r="A176" s="106">
        <v>173</v>
      </c>
      <c r="B176" s="324">
        <f>'F0 - Données générales'!$C$4</f>
        <v>7</v>
      </c>
      <c r="C176" s="106" t="s">
        <v>95</v>
      </c>
      <c r="D176" s="106"/>
      <c r="E176" s="107"/>
      <c r="F176" s="108"/>
      <c r="G176" s="109"/>
      <c r="H176" s="110">
        <f t="shared" si="90"/>
        <v>0</v>
      </c>
      <c r="I176" s="177"/>
      <c r="J176" s="118" t="str">
        <f>IF(OR(D176="",F176=""),"",(((HLOOKUP(D176,'Carrières et points'!$A$20:$AD$60,F176+2,FALSE)*'Carrières et points'!$C$7*'Carrières et points'!$C$9)+(HLOOKUP(D176,'Carrières et points'!$A$20:$AD$60,F176+2,FALSE)*'Carrières et points'!$C$13*'Carrières et points'!$C$15))*(1+'F0 - Données générales'!$I$4)+((HLOOKUP(D176,'Carrières et points'!$A$20:$AD$60,F176+2,FALSE)*'Carrières et points'!$C$7*'Carrières et points'!$C$9)+(HLOOKUP(D176,'Carrières et points'!$A$20:$AD$60,F176+2,FALSE)*'Carrières et points'!$C$13*'Carrières et points'!$C$15))/12*(1+'F0 - Données générales'!$L$13))*E176)</f>
        <v/>
      </c>
      <c r="K176" s="118" t="str">
        <f t="shared" si="91"/>
        <v/>
      </c>
      <c r="L176" s="109"/>
      <c r="M176" s="177"/>
      <c r="N176" s="118" t="str">
        <f t="shared" si="92"/>
        <v/>
      </c>
      <c r="O176" s="177"/>
      <c r="P176" s="177"/>
      <c r="Q176" s="177"/>
      <c r="R176" s="255" t="str">
        <f t="shared" si="93"/>
        <v/>
      </c>
      <c r="S176" s="120"/>
      <c r="T176" s="742" t="s">
        <v>61</v>
      </c>
      <c r="U176" s="742"/>
      <c r="V176" s="26" t="s">
        <v>68</v>
      </c>
      <c r="W176" s="741" t="s">
        <v>69</v>
      </c>
      <c r="X176" s="741"/>
      <c r="Y176" s="181">
        <f>SUMIFS('F3 - Relevé du personnel'!$E$4:$E$281,'F3 - Relevé du personnel'!$D$4:$D$281,$V176,'F3 - Relevé du personnel'!$C$4:$C$281,'F0 - Données générales'!$K$31,'F3 - Relevé du personnel'!$B$4:$B$281,11)</f>
        <v>0</v>
      </c>
      <c r="Z176" s="181">
        <f>SUMIFS('F3 - Relevé du personnel'!$H$4:$H$281,'F3 - Relevé du personnel'!$D$4:$D$281,$V176,'F3 - Relevé du personnel'!$C$4:$C$281,'F0 - Données générales'!$K$31,'F3 - Relevé du personnel'!$B$4:$B$281,11)</f>
        <v>0</v>
      </c>
      <c r="AA176" s="256">
        <f>SUMIFS('F3 - Relevé du personnel'!$I$4:$I$281,'F3 - Relevé du personnel'!$D$4:$D$281,$V176,'F3 - Relevé du personnel'!$C$4:$C$281,'F0 - Données générales'!$K$31,'F3 - Relevé du personnel'!$B$4:$B$281,11)</f>
        <v>0</v>
      </c>
      <c r="AB176" s="256">
        <f>SUMIFS('F3 - Relevé du personnel'!$M$4:$M$281,'F3 - Relevé du personnel'!$D$4:$D$281,$V176,'F3 - Relevé du personnel'!$C$4:$C$281,'F0 - Données générales'!$K$31,'F3 - Relevé du personnel'!$B$4:$B$281,11)</f>
        <v>0</v>
      </c>
      <c r="AC176" s="196">
        <f t="shared" si="110"/>
        <v>0</v>
      </c>
      <c r="AD176" s="256">
        <f>SUMIFS('F3 - Relevé du personnel'!$O$4:$O$281,'F3 - Relevé du personnel'!$D$4:$D$281,$V176,'F3 - Relevé du personnel'!$C$4:$C$281,'F0 - Données générales'!$K$31,'F3 - Relevé du personnel'!$B$4:$B$281,11)</f>
        <v>0</v>
      </c>
      <c r="AE176" s="256">
        <f>SUMIFS('F3 - Relevé du personnel'!$P$4:$P$281,'F3 - Relevé du personnel'!$D$4:$D$281,$V176,'F3 - Relevé du personnel'!$C$4:$C$281,'F0 - Données générales'!$K$31,'F3 - Relevé du personnel'!$B$4:$B$281,11)</f>
        <v>0</v>
      </c>
      <c r="AF176" s="256">
        <f>SUMIFS('F3 - Relevé du personnel'!$Q$4:$Q$281,'F3 - Relevé du personnel'!$D$4:$D$281,$V176,'F3 - Relevé du personnel'!$C$4:$C$281,'F0 - Données générales'!$K$31,'F3 - Relevé du personnel'!$B$4:$B$281,11)</f>
        <v>0</v>
      </c>
      <c r="AG176" s="182">
        <f t="shared" si="111"/>
        <v>0</v>
      </c>
      <c r="AH176" s="197" t="str">
        <f t="shared" si="112"/>
        <v/>
      </c>
      <c r="AI176" s="198" t="str">
        <f>IF(Y176=0,"",(SUMPRODUCT(($D$4:$D$253=V176)*($C$4:$C$253='F0 - Données générales'!$K$31)*($E$4:$E$253)*($F$4:$F$253)*($B$4:$B$253=11))+SUMPRODUCT(($D$257:$D$281=V176)*($C$257:$C$281='F0 - Données générales'!$K$31)*($B$257:$B$281=11)*($E$257:$E$281)*($F$257:$F$281)))/(SUMIFS('F3 - Relevé du personnel'!$E$4:$E$281,'F3 - Relevé du personnel'!$D$4:$D$281,$V176,'F3 - Relevé du personnel'!$C$4:$C$281,'F0 - Données générales'!$K$31,'F3 - Relevé du personnel'!$B$4:$B$281,11)))</f>
        <v/>
      </c>
      <c r="AK176" s="752"/>
      <c r="AL176" s="752"/>
      <c r="AM176" s="194"/>
      <c r="AN176" s="753"/>
      <c r="AO176" s="753"/>
      <c r="AP176" s="195"/>
      <c r="AQ176" s="195"/>
      <c r="AR176" s="300"/>
      <c r="AS176" s="300"/>
      <c r="AT176" s="301"/>
      <c r="AU176" s="300"/>
      <c r="AV176" s="300"/>
      <c r="AW176" s="300"/>
      <c r="AX176" s="300"/>
      <c r="AY176" s="300"/>
      <c r="AZ176" s="302"/>
      <c r="BS176" s="14"/>
      <c r="BT176" s="14"/>
      <c r="BV176" s="14"/>
    </row>
    <row r="177" spans="1:74" ht="15" customHeight="1" x14ac:dyDescent="0.3">
      <c r="A177" s="106">
        <v>174</v>
      </c>
      <c r="B177" s="324">
        <f>'F0 - Données générales'!$C$4</f>
        <v>7</v>
      </c>
      <c r="C177" s="106" t="s">
        <v>95</v>
      </c>
      <c r="D177" s="106"/>
      <c r="E177" s="107"/>
      <c r="F177" s="108"/>
      <c r="G177" s="109"/>
      <c r="H177" s="110">
        <f t="shared" si="90"/>
        <v>0</v>
      </c>
      <c r="I177" s="177"/>
      <c r="J177" s="118" t="str">
        <f>IF(OR(D177="",F177=""),"",(((HLOOKUP(D177,'Carrières et points'!$A$20:$AD$60,F177+2,FALSE)*'Carrières et points'!$C$7*'Carrières et points'!$C$9)+(HLOOKUP(D177,'Carrières et points'!$A$20:$AD$60,F177+2,FALSE)*'Carrières et points'!$C$13*'Carrières et points'!$C$15))*(1+'F0 - Données générales'!$I$4)+((HLOOKUP(D177,'Carrières et points'!$A$20:$AD$60,F177+2,FALSE)*'Carrières et points'!$C$7*'Carrières et points'!$C$9)+(HLOOKUP(D177,'Carrières et points'!$A$20:$AD$60,F177+2,FALSE)*'Carrières et points'!$C$13*'Carrières et points'!$C$15))/12*(1+'F0 - Données générales'!$L$13))*E177)</f>
        <v/>
      </c>
      <c r="K177" s="118" t="str">
        <f t="shared" si="91"/>
        <v/>
      </c>
      <c r="L177" s="109"/>
      <c r="M177" s="177"/>
      <c r="N177" s="118" t="str">
        <f t="shared" si="92"/>
        <v/>
      </c>
      <c r="O177" s="177"/>
      <c r="P177" s="177"/>
      <c r="Q177" s="177"/>
      <c r="R177" s="255" t="str">
        <f t="shared" si="93"/>
        <v/>
      </c>
      <c r="S177" s="120"/>
      <c r="T177" s="742" t="s">
        <v>64</v>
      </c>
      <c r="U177" s="742"/>
      <c r="V177" s="26" t="s">
        <v>70</v>
      </c>
      <c r="W177" s="741" t="s">
        <v>71</v>
      </c>
      <c r="X177" s="741"/>
      <c r="Y177" s="181">
        <f>SUMIFS('F3 - Relevé du personnel'!$E$4:$E$281,'F3 - Relevé du personnel'!$D$4:$D$281,$V177,'F3 - Relevé du personnel'!$C$4:$C$281,'F0 - Données générales'!$K$31,'F3 - Relevé du personnel'!$B$4:$B$281,11)</f>
        <v>0</v>
      </c>
      <c r="Z177" s="181">
        <f>SUMIFS('F3 - Relevé du personnel'!$H$4:$H$281,'F3 - Relevé du personnel'!$D$4:$D$281,$V177,'F3 - Relevé du personnel'!$C$4:$C$281,'F0 - Données générales'!$K$31,'F3 - Relevé du personnel'!$B$4:$B$281,11)</f>
        <v>0</v>
      </c>
      <c r="AA177" s="256">
        <f>SUMIFS('F3 - Relevé du personnel'!$I$4:$I$281,'F3 - Relevé du personnel'!$D$4:$D$281,$V177,'F3 - Relevé du personnel'!$C$4:$C$281,'F0 - Données générales'!$K$31,'F3 - Relevé du personnel'!$B$4:$B$281,11)</f>
        <v>0</v>
      </c>
      <c r="AB177" s="256">
        <f>SUMIFS('F3 - Relevé du personnel'!$M$4:$M$281,'F3 - Relevé du personnel'!$D$4:$D$281,$V177,'F3 - Relevé du personnel'!$C$4:$C$281,'F0 - Données générales'!$K$31,'F3 - Relevé du personnel'!$B$4:$B$281,11)</f>
        <v>0</v>
      </c>
      <c r="AC177" s="196">
        <f t="shared" si="110"/>
        <v>0</v>
      </c>
      <c r="AD177" s="256">
        <f>SUMIFS('F3 - Relevé du personnel'!$O$4:$O$281,'F3 - Relevé du personnel'!$D$4:$D$281,$V177,'F3 - Relevé du personnel'!$C$4:$C$281,'F0 - Données générales'!$K$31,'F3 - Relevé du personnel'!$B$4:$B$281,11)</f>
        <v>0</v>
      </c>
      <c r="AE177" s="256">
        <f>SUMIFS('F3 - Relevé du personnel'!$P$4:$P$281,'F3 - Relevé du personnel'!$D$4:$D$281,$V177,'F3 - Relevé du personnel'!$C$4:$C$281,'F0 - Données générales'!$K$31,'F3 - Relevé du personnel'!$B$4:$B$281,11)</f>
        <v>0</v>
      </c>
      <c r="AF177" s="256">
        <f>SUMIFS('F3 - Relevé du personnel'!$Q$4:$Q$281,'F3 - Relevé du personnel'!$D$4:$D$281,$V177,'F3 - Relevé du personnel'!$C$4:$C$281,'F0 - Données générales'!$K$31,'F3 - Relevé du personnel'!$B$4:$B$281,11)</f>
        <v>0</v>
      </c>
      <c r="AG177" s="182">
        <f t="shared" si="111"/>
        <v>0</v>
      </c>
      <c r="AH177" s="197" t="str">
        <f t="shared" si="112"/>
        <v/>
      </c>
      <c r="AI177" s="198" t="str">
        <f>IF(Y177=0,"",(SUMPRODUCT(($D$4:$D$253=V177)*($C$4:$C$253='F0 - Données générales'!$K$31)*($E$4:$E$253)*($F$4:$F$253)*($B$4:$B$253=11))+SUMPRODUCT(($D$257:$D$281=V177)*($C$257:$C$281='F0 - Données générales'!$K$31)*($B$257:$B$281=11)*($E$257:$E$281)*($F$257:$F$281)))/(SUMIFS('F3 - Relevé du personnel'!$E$4:$E$281,'F3 - Relevé du personnel'!$D$4:$D$281,$V177,'F3 - Relevé du personnel'!$C$4:$C$281,'F0 - Données générales'!$K$31,'F3 - Relevé du personnel'!$B$4:$B$281,11)))</f>
        <v/>
      </c>
      <c r="AK177" s="752"/>
      <c r="AL177" s="752"/>
      <c r="AM177" s="194"/>
      <c r="AN177" s="753"/>
      <c r="AO177" s="753"/>
      <c r="AP177" s="195"/>
      <c r="AQ177" s="195"/>
      <c r="AR177" s="300"/>
      <c r="AS177" s="300"/>
      <c r="AT177" s="301"/>
      <c r="AU177" s="300"/>
      <c r="AV177" s="300"/>
      <c r="AW177" s="300"/>
      <c r="AX177" s="300"/>
      <c r="AY177" s="300"/>
      <c r="AZ177" s="302"/>
      <c r="BU177" s="14"/>
      <c r="BV177" s="14"/>
    </row>
    <row r="178" spans="1:74" ht="15" customHeight="1" x14ac:dyDescent="0.3">
      <c r="A178" s="106">
        <v>175</v>
      </c>
      <c r="B178" s="324">
        <f>'F0 - Données générales'!$C$4</f>
        <v>7</v>
      </c>
      <c r="C178" s="106" t="s">
        <v>95</v>
      </c>
      <c r="D178" s="106"/>
      <c r="E178" s="107"/>
      <c r="F178" s="108"/>
      <c r="G178" s="109"/>
      <c r="H178" s="110">
        <f t="shared" si="90"/>
        <v>0</v>
      </c>
      <c r="I178" s="177"/>
      <c r="J178" s="118" t="str">
        <f>IF(OR(D178="",F178=""),"",(((HLOOKUP(D178,'Carrières et points'!$A$20:$AD$60,F178+2,FALSE)*'Carrières et points'!$C$7*'Carrières et points'!$C$9)+(HLOOKUP(D178,'Carrières et points'!$A$20:$AD$60,F178+2,FALSE)*'Carrières et points'!$C$13*'Carrières et points'!$C$15))*(1+'F0 - Données générales'!$I$4)+((HLOOKUP(D178,'Carrières et points'!$A$20:$AD$60,F178+2,FALSE)*'Carrières et points'!$C$7*'Carrières et points'!$C$9)+(HLOOKUP(D178,'Carrières et points'!$A$20:$AD$60,F178+2,FALSE)*'Carrières et points'!$C$13*'Carrières et points'!$C$15))/12*(1+'F0 - Données générales'!$L$13))*E178)</f>
        <v/>
      </c>
      <c r="K178" s="118" t="str">
        <f t="shared" si="91"/>
        <v/>
      </c>
      <c r="L178" s="109"/>
      <c r="M178" s="177"/>
      <c r="N178" s="118" t="str">
        <f t="shared" si="92"/>
        <v/>
      </c>
      <c r="O178" s="177"/>
      <c r="P178" s="177"/>
      <c r="Q178" s="177"/>
      <c r="R178" s="255" t="str">
        <f t="shared" si="93"/>
        <v/>
      </c>
      <c r="S178" s="120"/>
      <c r="T178" s="742" t="s">
        <v>64</v>
      </c>
      <c r="U178" s="742"/>
      <c r="V178" s="26" t="s">
        <v>72</v>
      </c>
      <c r="W178" s="741" t="s">
        <v>73</v>
      </c>
      <c r="X178" s="741"/>
      <c r="Y178" s="181">
        <f>SUMIFS('F3 - Relevé du personnel'!$E$4:$E$281,'F3 - Relevé du personnel'!$D$4:$D$281,$V178,'F3 - Relevé du personnel'!$C$4:$C$281,'F0 - Données générales'!$K$31,'F3 - Relevé du personnel'!$B$4:$B$281,11)</f>
        <v>0</v>
      </c>
      <c r="Z178" s="181">
        <f>SUMIFS('F3 - Relevé du personnel'!$H$4:$H$281,'F3 - Relevé du personnel'!$D$4:$D$281,$V178,'F3 - Relevé du personnel'!$C$4:$C$281,'F0 - Données générales'!$K$31,'F3 - Relevé du personnel'!$B$4:$B$281,11)</f>
        <v>0</v>
      </c>
      <c r="AA178" s="256">
        <f>SUMIFS('F3 - Relevé du personnel'!$I$4:$I$281,'F3 - Relevé du personnel'!$D$4:$D$281,$V178,'F3 - Relevé du personnel'!$C$4:$C$281,'F0 - Données générales'!$K$31,'F3 - Relevé du personnel'!$B$4:$B$281,11)</f>
        <v>0</v>
      </c>
      <c r="AB178" s="256">
        <f>SUMIFS('F3 - Relevé du personnel'!$M$4:$M$281,'F3 - Relevé du personnel'!$D$4:$D$281,$V178,'F3 - Relevé du personnel'!$C$4:$C$281,'F0 - Données générales'!$K$31,'F3 - Relevé du personnel'!$B$4:$B$281,11)</f>
        <v>0</v>
      </c>
      <c r="AC178" s="196">
        <f t="shared" si="110"/>
        <v>0</v>
      </c>
      <c r="AD178" s="256">
        <f>SUMIFS('F3 - Relevé du personnel'!$O$4:$O$281,'F3 - Relevé du personnel'!$D$4:$D$281,$V178,'F3 - Relevé du personnel'!$C$4:$C$281,'F0 - Données générales'!$K$31,'F3 - Relevé du personnel'!$B$4:$B$281,11)</f>
        <v>0</v>
      </c>
      <c r="AE178" s="256">
        <f>SUMIFS('F3 - Relevé du personnel'!$P$4:$P$281,'F3 - Relevé du personnel'!$D$4:$D$281,$V178,'F3 - Relevé du personnel'!$C$4:$C$281,'F0 - Données générales'!$K$31,'F3 - Relevé du personnel'!$B$4:$B$281,11)</f>
        <v>0</v>
      </c>
      <c r="AF178" s="256">
        <f>SUMIFS('F3 - Relevé du personnel'!$Q$4:$Q$281,'F3 - Relevé du personnel'!$D$4:$D$281,$V178,'F3 - Relevé du personnel'!$C$4:$C$281,'F0 - Données générales'!$K$31,'F3 - Relevé du personnel'!$B$4:$B$281,11)</f>
        <v>0</v>
      </c>
      <c r="AG178" s="182">
        <f t="shared" si="111"/>
        <v>0</v>
      </c>
      <c r="AH178" s="197" t="str">
        <f t="shared" si="112"/>
        <v/>
      </c>
      <c r="AI178" s="198" t="str">
        <f>IF(Y178=0,"",(SUMPRODUCT(($D$4:$D$253=V178)*($C$4:$C$253='F0 - Données générales'!$K$31)*($E$4:$E$253)*($F$4:$F$253)*($B$4:$B$253=11))+SUMPRODUCT(($D$257:$D$281=V178)*($C$257:$C$281='F0 - Données générales'!$K$31)*($B$257:$B$281=11)*($E$257:$E$281)*($F$257:$F$281)))/(SUMIFS('F3 - Relevé du personnel'!$E$4:$E$281,'F3 - Relevé du personnel'!$D$4:$D$281,$V178,'F3 - Relevé du personnel'!$C$4:$C$281,'F0 - Données générales'!$K$31,'F3 - Relevé du personnel'!$B$4:$B$281,11)))</f>
        <v/>
      </c>
      <c r="AK178" s="752"/>
      <c r="AL178" s="752"/>
      <c r="AM178" s="194"/>
      <c r="AN178" s="753"/>
      <c r="AO178" s="753"/>
      <c r="AP178" s="195"/>
      <c r="AQ178" s="195"/>
      <c r="AR178" s="300"/>
      <c r="AS178" s="300"/>
      <c r="AT178" s="301"/>
      <c r="AU178" s="300"/>
      <c r="AV178" s="300"/>
      <c r="AW178" s="300"/>
      <c r="AX178" s="300"/>
      <c r="AY178" s="300"/>
      <c r="AZ178" s="302"/>
      <c r="BS178" s="14"/>
      <c r="BT178" s="14"/>
      <c r="BU178" s="14"/>
      <c r="BV178" s="14"/>
    </row>
    <row r="179" spans="1:74" ht="15" customHeight="1" x14ac:dyDescent="0.3">
      <c r="A179" s="106">
        <v>176</v>
      </c>
      <c r="B179" s="324">
        <f>'F0 - Données générales'!$C$4</f>
        <v>7</v>
      </c>
      <c r="C179" s="106" t="s">
        <v>95</v>
      </c>
      <c r="D179" s="106"/>
      <c r="E179" s="107"/>
      <c r="F179" s="108"/>
      <c r="G179" s="109"/>
      <c r="H179" s="110">
        <f t="shared" si="90"/>
        <v>0</v>
      </c>
      <c r="I179" s="177"/>
      <c r="J179" s="118" t="str">
        <f>IF(OR(D179="",F179=""),"",(((HLOOKUP(D179,'Carrières et points'!$A$20:$AD$60,F179+2,FALSE)*'Carrières et points'!$C$7*'Carrières et points'!$C$9)+(HLOOKUP(D179,'Carrières et points'!$A$20:$AD$60,F179+2,FALSE)*'Carrières et points'!$C$13*'Carrières et points'!$C$15))*(1+'F0 - Données générales'!$I$4)+((HLOOKUP(D179,'Carrières et points'!$A$20:$AD$60,F179+2,FALSE)*'Carrières et points'!$C$7*'Carrières et points'!$C$9)+(HLOOKUP(D179,'Carrières et points'!$A$20:$AD$60,F179+2,FALSE)*'Carrières et points'!$C$13*'Carrières et points'!$C$15))/12*(1+'F0 - Données générales'!$L$13))*E179)</f>
        <v/>
      </c>
      <c r="K179" s="118" t="str">
        <f t="shared" si="91"/>
        <v/>
      </c>
      <c r="L179" s="109"/>
      <c r="M179" s="177"/>
      <c r="N179" s="118" t="str">
        <f t="shared" si="92"/>
        <v/>
      </c>
      <c r="O179" s="177"/>
      <c r="P179" s="177"/>
      <c r="Q179" s="177"/>
      <c r="R179" s="255" t="str">
        <f t="shared" si="93"/>
        <v/>
      </c>
      <c r="S179" s="120"/>
      <c r="T179" s="742" t="s">
        <v>65</v>
      </c>
      <c r="U179" s="742"/>
      <c r="V179" s="26" t="s">
        <v>74</v>
      </c>
      <c r="W179" s="741" t="s">
        <v>75</v>
      </c>
      <c r="X179" s="741"/>
      <c r="Y179" s="181">
        <f>SUMIFS('F3 - Relevé du personnel'!$E$4:$E$281,'F3 - Relevé du personnel'!$D$4:$D$281,$V179,'F3 - Relevé du personnel'!$C$4:$C$281,'F0 - Données générales'!$K$31,'F3 - Relevé du personnel'!$B$4:$B$281,11)</f>
        <v>0</v>
      </c>
      <c r="Z179" s="181">
        <f>SUMIFS('F3 - Relevé du personnel'!$H$4:$H$281,'F3 - Relevé du personnel'!$D$4:$D$281,$V179,'F3 - Relevé du personnel'!$C$4:$C$281,'F0 - Données générales'!$K$31,'F3 - Relevé du personnel'!$B$4:$B$281,11)</f>
        <v>0</v>
      </c>
      <c r="AA179" s="256">
        <f>SUMIFS('F3 - Relevé du personnel'!$I$4:$I$281,'F3 - Relevé du personnel'!$D$4:$D$281,$V179,'F3 - Relevé du personnel'!$C$4:$C$281,'F0 - Données générales'!$K$31,'F3 - Relevé du personnel'!$B$4:$B$281,11)</f>
        <v>0</v>
      </c>
      <c r="AB179" s="256">
        <f>SUMIFS('F3 - Relevé du personnel'!$M$4:$M$281,'F3 - Relevé du personnel'!$D$4:$D$281,$V179,'F3 - Relevé du personnel'!$C$4:$C$281,'F0 - Données générales'!$K$31,'F3 - Relevé du personnel'!$B$4:$B$281,11)</f>
        <v>0</v>
      </c>
      <c r="AC179" s="196">
        <f t="shared" si="110"/>
        <v>0</v>
      </c>
      <c r="AD179" s="256">
        <f>SUMIFS('F3 - Relevé du personnel'!$O$4:$O$281,'F3 - Relevé du personnel'!$D$4:$D$281,$V179,'F3 - Relevé du personnel'!$C$4:$C$281,'F0 - Données générales'!$K$31,'F3 - Relevé du personnel'!$B$4:$B$281,11)</f>
        <v>0</v>
      </c>
      <c r="AE179" s="256">
        <f>SUMIFS('F3 - Relevé du personnel'!$P$4:$P$281,'F3 - Relevé du personnel'!$D$4:$D$281,$V179,'F3 - Relevé du personnel'!$C$4:$C$281,'F0 - Données générales'!$K$31,'F3 - Relevé du personnel'!$B$4:$B$281,11)</f>
        <v>0</v>
      </c>
      <c r="AF179" s="256">
        <f>SUMIFS('F3 - Relevé du personnel'!$Q$4:$Q$281,'F3 - Relevé du personnel'!$D$4:$D$281,$V179,'F3 - Relevé du personnel'!$C$4:$C$281,'F0 - Données générales'!$K$31,'F3 - Relevé du personnel'!$B$4:$B$281,11)</f>
        <v>0</v>
      </c>
      <c r="AG179" s="182">
        <f t="shared" si="111"/>
        <v>0</v>
      </c>
      <c r="AH179" s="197" t="str">
        <f t="shared" si="112"/>
        <v/>
      </c>
      <c r="AI179" s="198" t="str">
        <f>IF(Y179=0,"",(SUMPRODUCT(($D$4:$D$253=V179)*($C$4:$C$253='F0 - Données générales'!$K$31)*($E$4:$E$253)*($F$4:$F$253)*($B$4:$B$253=11))+SUMPRODUCT(($D$257:$D$281=V179)*($C$257:$C$281='F0 - Données générales'!$K$31)*($B$257:$B$281=11)*($E$257:$E$281)*($F$257:$F$281)))/(SUMIFS('F3 - Relevé du personnel'!$E$4:$E$281,'F3 - Relevé du personnel'!$D$4:$D$281,$V179,'F3 - Relevé du personnel'!$C$4:$C$281,'F0 - Données générales'!$K$31,'F3 - Relevé du personnel'!$B$4:$B$281,11)))</f>
        <v/>
      </c>
      <c r="AK179" s="752"/>
      <c r="AL179" s="752"/>
      <c r="AM179" s="194"/>
      <c r="AN179" s="753"/>
      <c r="AO179" s="753"/>
      <c r="AP179" s="195"/>
      <c r="AQ179" s="195"/>
      <c r="AR179" s="300"/>
      <c r="AS179" s="300"/>
      <c r="AT179" s="301"/>
      <c r="AU179" s="300"/>
      <c r="AV179" s="300"/>
      <c r="AW179" s="300"/>
      <c r="AX179" s="300"/>
      <c r="AY179" s="300"/>
      <c r="AZ179" s="302"/>
    </row>
    <row r="180" spans="1:74" ht="15" customHeight="1" x14ac:dyDescent="0.3">
      <c r="A180" s="106">
        <v>177</v>
      </c>
      <c r="B180" s="324">
        <f>'F0 - Données générales'!$C$4</f>
        <v>7</v>
      </c>
      <c r="C180" s="106" t="s">
        <v>95</v>
      </c>
      <c r="D180" s="106"/>
      <c r="E180" s="107"/>
      <c r="F180" s="108"/>
      <c r="G180" s="109"/>
      <c r="H180" s="110">
        <f t="shared" si="90"/>
        <v>0</v>
      </c>
      <c r="I180" s="177"/>
      <c r="J180" s="118" t="str">
        <f>IF(OR(D180="",F180=""),"",(((HLOOKUP(D180,'Carrières et points'!$A$20:$AD$60,F180+2,FALSE)*'Carrières et points'!$C$7*'Carrières et points'!$C$9)+(HLOOKUP(D180,'Carrières et points'!$A$20:$AD$60,F180+2,FALSE)*'Carrières et points'!$C$13*'Carrières et points'!$C$15))*(1+'F0 - Données générales'!$I$4)+((HLOOKUP(D180,'Carrières et points'!$A$20:$AD$60,F180+2,FALSE)*'Carrières et points'!$C$7*'Carrières et points'!$C$9)+(HLOOKUP(D180,'Carrières et points'!$A$20:$AD$60,F180+2,FALSE)*'Carrières et points'!$C$13*'Carrières et points'!$C$15))/12*(1+'F0 - Données générales'!$L$13))*E180)</f>
        <v/>
      </c>
      <c r="K180" s="118" t="str">
        <f t="shared" si="91"/>
        <v/>
      </c>
      <c r="L180" s="109"/>
      <c r="M180" s="177"/>
      <c r="N180" s="118" t="str">
        <f t="shared" si="92"/>
        <v/>
      </c>
      <c r="O180" s="177"/>
      <c r="P180" s="177"/>
      <c r="Q180" s="177"/>
      <c r="R180" s="255" t="str">
        <f t="shared" si="93"/>
        <v/>
      </c>
      <c r="S180" s="120"/>
      <c r="T180" s="742" t="s">
        <v>65</v>
      </c>
      <c r="U180" s="742"/>
      <c r="V180" s="26" t="s">
        <v>76</v>
      </c>
      <c r="W180" s="741" t="s">
        <v>77</v>
      </c>
      <c r="X180" s="741"/>
      <c r="Y180" s="181">
        <f>SUMIFS('F3 - Relevé du personnel'!$E$4:$E$281,'F3 - Relevé du personnel'!$D$4:$D$281,$V180,'F3 - Relevé du personnel'!$C$4:$C$281,'F0 - Données générales'!$K$31,'F3 - Relevé du personnel'!$B$4:$B$281,11)</f>
        <v>0</v>
      </c>
      <c r="Z180" s="181">
        <f>SUMIFS('F3 - Relevé du personnel'!$H$4:$H$281,'F3 - Relevé du personnel'!$D$4:$D$281,$V180,'F3 - Relevé du personnel'!$C$4:$C$281,'F0 - Données générales'!$K$31,'F3 - Relevé du personnel'!$B$4:$B$281,11)</f>
        <v>0</v>
      </c>
      <c r="AA180" s="256">
        <f>SUMIFS('F3 - Relevé du personnel'!$I$4:$I$281,'F3 - Relevé du personnel'!$D$4:$D$281,$V180,'F3 - Relevé du personnel'!$C$4:$C$281,'F0 - Données générales'!$K$31,'F3 - Relevé du personnel'!$B$4:$B$281,11)</f>
        <v>0</v>
      </c>
      <c r="AB180" s="256">
        <f>SUMIFS('F3 - Relevé du personnel'!$M$4:$M$281,'F3 - Relevé du personnel'!$D$4:$D$281,$V180,'F3 - Relevé du personnel'!$C$4:$C$281,'F0 - Données générales'!$K$31,'F3 - Relevé du personnel'!$B$4:$B$281,11)</f>
        <v>0</v>
      </c>
      <c r="AC180" s="196">
        <f t="shared" si="110"/>
        <v>0</v>
      </c>
      <c r="AD180" s="256">
        <f>SUMIFS('F3 - Relevé du personnel'!$O$4:$O$281,'F3 - Relevé du personnel'!$D$4:$D$281,$V180,'F3 - Relevé du personnel'!$C$4:$C$281,'F0 - Données générales'!$K$31,'F3 - Relevé du personnel'!$B$4:$B$281,11)</f>
        <v>0</v>
      </c>
      <c r="AE180" s="256">
        <f>SUMIFS('F3 - Relevé du personnel'!$P$4:$P$281,'F3 - Relevé du personnel'!$D$4:$D$281,$V180,'F3 - Relevé du personnel'!$C$4:$C$281,'F0 - Données générales'!$K$31,'F3 - Relevé du personnel'!$B$4:$B$281,11)</f>
        <v>0</v>
      </c>
      <c r="AF180" s="256">
        <f>SUMIFS('F3 - Relevé du personnel'!$Q$4:$Q$281,'F3 - Relevé du personnel'!$D$4:$D$281,$V180,'F3 - Relevé du personnel'!$C$4:$C$281,'F0 - Données générales'!$K$31,'F3 - Relevé du personnel'!$B$4:$B$281,11)</f>
        <v>0</v>
      </c>
      <c r="AG180" s="182">
        <f t="shared" si="111"/>
        <v>0</v>
      </c>
      <c r="AH180" s="197" t="str">
        <f t="shared" si="112"/>
        <v/>
      </c>
      <c r="AI180" s="198" t="str">
        <f>IF(Y180=0,"",(SUMPRODUCT(($D$4:$D$253=V180)*($C$4:$C$253='F0 - Données générales'!$K$31)*($E$4:$E$253)*($F$4:$F$253)*($B$4:$B$253=11))+SUMPRODUCT(($D$257:$D$281=V180)*($C$257:$C$281='F0 - Données générales'!$K$31)*($B$257:$B$281=11)*($E$257:$E$281)*($F$257:$F$281)))/(SUMIFS('F3 - Relevé du personnel'!$E$4:$E$281,'F3 - Relevé du personnel'!$D$4:$D$281,$V180,'F3 - Relevé du personnel'!$C$4:$C$281,'F0 - Données générales'!$K$31,'F3 - Relevé du personnel'!$B$4:$B$281,11)))</f>
        <v/>
      </c>
      <c r="AK180" s="752"/>
      <c r="AL180" s="752"/>
      <c r="AM180" s="194"/>
      <c r="AN180" s="753"/>
      <c r="AO180" s="753"/>
      <c r="AP180" s="195"/>
      <c r="AQ180" s="195"/>
      <c r="AR180" s="300"/>
      <c r="AS180" s="300"/>
      <c r="AT180" s="301"/>
      <c r="AU180" s="300"/>
      <c r="AV180" s="300"/>
      <c r="AW180" s="300"/>
      <c r="AX180" s="300"/>
      <c r="AY180" s="300"/>
      <c r="AZ180" s="302"/>
    </row>
    <row r="181" spans="1:74" ht="15" customHeight="1" x14ac:dyDescent="0.3">
      <c r="A181" s="106">
        <v>178</v>
      </c>
      <c r="B181" s="324">
        <f>'F0 - Données générales'!$C$4</f>
        <v>7</v>
      </c>
      <c r="C181" s="106" t="s">
        <v>95</v>
      </c>
      <c r="D181" s="106"/>
      <c r="E181" s="107"/>
      <c r="F181" s="108"/>
      <c r="G181" s="109"/>
      <c r="H181" s="110">
        <f t="shared" si="90"/>
        <v>0</v>
      </c>
      <c r="I181" s="177"/>
      <c r="J181" s="118" t="str">
        <f>IF(OR(D181="",F181=""),"",(((HLOOKUP(D181,'Carrières et points'!$A$20:$AD$60,F181+2,FALSE)*'Carrières et points'!$C$7*'Carrières et points'!$C$9)+(HLOOKUP(D181,'Carrières et points'!$A$20:$AD$60,F181+2,FALSE)*'Carrières et points'!$C$13*'Carrières et points'!$C$15))*(1+'F0 - Données générales'!$I$4)+((HLOOKUP(D181,'Carrières et points'!$A$20:$AD$60,F181+2,FALSE)*'Carrières et points'!$C$7*'Carrières et points'!$C$9)+(HLOOKUP(D181,'Carrières et points'!$A$20:$AD$60,F181+2,FALSE)*'Carrières et points'!$C$13*'Carrières et points'!$C$15))/12*(1+'F0 - Données générales'!$L$13))*E181)</f>
        <v/>
      </c>
      <c r="K181" s="118" t="str">
        <f t="shared" si="91"/>
        <v/>
      </c>
      <c r="L181" s="109"/>
      <c r="M181" s="177"/>
      <c r="N181" s="118" t="str">
        <f t="shared" si="92"/>
        <v/>
      </c>
      <c r="O181" s="177"/>
      <c r="P181" s="177"/>
      <c r="Q181" s="177"/>
      <c r="R181" s="255" t="str">
        <f t="shared" si="93"/>
        <v/>
      </c>
      <c r="S181" s="120"/>
      <c r="T181" s="742" t="s">
        <v>65</v>
      </c>
      <c r="U181" s="742"/>
      <c r="V181" s="26" t="s">
        <v>252</v>
      </c>
      <c r="W181" s="741" t="s">
        <v>78</v>
      </c>
      <c r="X181" s="741"/>
      <c r="Y181" s="181">
        <f>SUMIFS('F3 - Relevé du personnel'!$E$4:$E$281,'F3 - Relevé du personnel'!$D$4:$D$281,$V181,'F3 - Relevé du personnel'!$C$4:$C$281,'F0 - Données générales'!$K$31,'F3 - Relevé du personnel'!$B$4:$B$281,11)</f>
        <v>0</v>
      </c>
      <c r="Z181" s="181">
        <f>SUMIFS('F3 - Relevé du personnel'!$H$4:$H$281,'F3 - Relevé du personnel'!$D$4:$D$281,$V181,'F3 - Relevé du personnel'!$C$4:$C$281,'F0 - Données générales'!$K$31,'F3 - Relevé du personnel'!$B$4:$B$281,11)</f>
        <v>0</v>
      </c>
      <c r="AA181" s="256">
        <f>SUMIFS('F3 - Relevé du personnel'!$I$4:$I$281,'F3 - Relevé du personnel'!$D$4:$D$281,$V181,'F3 - Relevé du personnel'!$C$4:$C$281,'F0 - Données générales'!$K$31,'F3 - Relevé du personnel'!$B$4:$B$281,11)</f>
        <v>0</v>
      </c>
      <c r="AB181" s="256">
        <f>SUMIFS('F3 - Relevé du personnel'!$M$4:$M$281,'F3 - Relevé du personnel'!$D$4:$D$281,$V181,'F3 - Relevé du personnel'!$C$4:$C$281,'F0 - Données générales'!$K$31,'F3 - Relevé du personnel'!$B$4:$B$281,11)</f>
        <v>0</v>
      </c>
      <c r="AC181" s="196">
        <f t="shared" si="110"/>
        <v>0</v>
      </c>
      <c r="AD181" s="256">
        <f>SUMIFS('F3 - Relevé du personnel'!$O$4:$O$281,'F3 - Relevé du personnel'!$D$4:$D$281,$V181,'F3 - Relevé du personnel'!$C$4:$C$281,'F0 - Données générales'!$K$31,'F3 - Relevé du personnel'!$B$4:$B$281,11)</f>
        <v>0</v>
      </c>
      <c r="AE181" s="256">
        <f>SUMIFS('F3 - Relevé du personnel'!$P$4:$P$281,'F3 - Relevé du personnel'!$D$4:$D$281,$V181,'F3 - Relevé du personnel'!$C$4:$C$281,'F0 - Données générales'!$K$31,'F3 - Relevé du personnel'!$B$4:$B$281,11)</f>
        <v>0</v>
      </c>
      <c r="AF181" s="256">
        <f>SUMIFS('F3 - Relevé du personnel'!$Q$4:$Q$281,'F3 - Relevé du personnel'!$D$4:$D$281,$V181,'F3 - Relevé du personnel'!$C$4:$C$281,'F0 - Données générales'!$K$31,'F3 - Relevé du personnel'!$B$4:$B$281,11)</f>
        <v>0</v>
      </c>
      <c r="AG181" s="182">
        <f t="shared" si="111"/>
        <v>0</v>
      </c>
      <c r="AH181" s="197" t="str">
        <f t="shared" si="112"/>
        <v/>
      </c>
      <c r="AI181" s="198" t="str">
        <f>IF(Y181=0,"",(SUMPRODUCT(($D$4:$D$253=V181)*($C$4:$C$253='F0 - Données générales'!$K$31)*($E$4:$E$253)*($F$4:$F$253)*($B$4:$B$253=11))+SUMPRODUCT(($D$257:$D$281=V181)*($C$257:$C$281='F0 - Données générales'!$K$31)*($B$257:$B$281=11)*($E$257:$E$281)*($F$257:$F$281)))/(SUMIFS('F3 - Relevé du personnel'!$E$4:$E$281,'F3 - Relevé du personnel'!$D$4:$D$281,$V181,'F3 - Relevé du personnel'!$C$4:$C$281,'F0 - Données générales'!$K$31,'F3 - Relevé du personnel'!$B$4:$B$281,11)))</f>
        <v/>
      </c>
      <c r="AK181" s="752"/>
      <c r="AL181" s="752"/>
      <c r="AM181" s="194"/>
      <c r="AN181" s="753"/>
      <c r="AO181" s="753"/>
      <c r="AP181" s="195"/>
      <c r="AQ181" s="195"/>
      <c r="AR181" s="300"/>
      <c r="AS181" s="300"/>
      <c r="AT181" s="301"/>
      <c r="AU181" s="300"/>
      <c r="AV181" s="300"/>
      <c r="AW181" s="300"/>
      <c r="AX181" s="300"/>
      <c r="AY181" s="300"/>
      <c r="AZ181" s="302"/>
    </row>
    <row r="182" spans="1:74" ht="15" customHeight="1" x14ac:dyDescent="0.3">
      <c r="A182" s="106">
        <v>179</v>
      </c>
      <c r="B182" s="324">
        <f>'F0 - Données générales'!$C$4</f>
        <v>7</v>
      </c>
      <c r="C182" s="106" t="s">
        <v>95</v>
      </c>
      <c r="D182" s="106"/>
      <c r="E182" s="107"/>
      <c r="F182" s="108"/>
      <c r="G182" s="109"/>
      <c r="H182" s="110">
        <f t="shared" si="90"/>
        <v>0</v>
      </c>
      <c r="I182" s="177"/>
      <c r="J182" s="118" t="str">
        <f>IF(OR(D182="",F182=""),"",(((HLOOKUP(D182,'Carrières et points'!$A$20:$AD$60,F182+2,FALSE)*'Carrières et points'!$C$7*'Carrières et points'!$C$9)+(HLOOKUP(D182,'Carrières et points'!$A$20:$AD$60,F182+2,FALSE)*'Carrières et points'!$C$13*'Carrières et points'!$C$15))*(1+'F0 - Données générales'!$I$4)+((HLOOKUP(D182,'Carrières et points'!$A$20:$AD$60,F182+2,FALSE)*'Carrières et points'!$C$7*'Carrières et points'!$C$9)+(HLOOKUP(D182,'Carrières et points'!$A$20:$AD$60,F182+2,FALSE)*'Carrières et points'!$C$13*'Carrières et points'!$C$15))/12*(1+'F0 - Données générales'!$L$13))*E182)</f>
        <v/>
      </c>
      <c r="K182" s="118" t="str">
        <f t="shared" si="91"/>
        <v/>
      </c>
      <c r="L182" s="109"/>
      <c r="M182" s="177"/>
      <c r="N182" s="118" t="str">
        <f t="shared" si="92"/>
        <v/>
      </c>
      <c r="O182" s="177"/>
      <c r="P182" s="177"/>
      <c r="Q182" s="177"/>
      <c r="R182" s="255" t="str">
        <f t="shared" si="93"/>
        <v/>
      </c>
      <c r="S182" s="120"/>
      <c r="T182" s="742" t="s">
        <v>79</v>
      </c>
      <c r="U182" s="742"/>
      <c r="V182" s="26" t="s">
        <v>253</v>
      </c>
      <c r="W182" s="741" t="s">
        <v>78</v>
      </c>
      <c r="X182" s="741"/>
      <c r="Y182" s="181">
        <f>SUMIFS('F3 - Relevé du personnel'!$E$4:$E$281,'F3 - Relevé du personnel'!$D$4:$D$281,$V182,'F3 - Relevé du personnel'!$C$4:$C$281,'F0 - Données générales'!$K$31,'F3 - Relevé du personnel'!$B$4:$B$281,11)</f>
        <v>0</v>
      </c>
      <c r="Z182" s="181">
        <f>SUMIFS('F3 - Relevé du personnel'!$H$4:$H$281,'F3 - Relevé du personnel'!$D$4:$D$281,$V182,'F3 - Relevé du personnel'!$C$4:$C$281,'F0 - Données générales'!$K$31,'F3 - Relevé du personnel'!$B$4:$B$281,11)</f>
        <v>0</v>
      </c>
      <c r="AA182" s="256">
        <f>SUMIFS('F3 - Relevé du personnel'!$I$4:$I$281,'F3 - Relevé du personnel'!$D$4:$D$281,$V182,'F3 - Relevé du personnel'!$C$4:$C$281,'F0 - Données générales'!$K$31,'F3 - Relevé du personnel'!$B$4:$B$281,11)</f>
        <v>0</v>
      </c>
      <c r="AB182" s="256">
        <f>SUMIFS('F3 - Relevé du personnel'!$M$4:$M$281,'F3 - Relevé du personnel'!$D$4:$D$281,$V182,'F3 - Relevé du personnel'!$C$4:$C$281,'F0 - Données générales'!$K$31,'F3 - Relevé du personnel'!$B$4:$B$281,11)</f>
        <v>0</v>
      </c>
      <c r="AC182" s="196">
        <f t="shared" si="110"/>
        <v>0</v>
      </c>
      <c r="AD182" s="256">
        <f>SUMIFS('F3 - Relevé du personnel'!$O$4:$O$281,'F3 - Relevé du personnel'!$D$4:$D$281,$V182,'F3 - Relevé du personnel'!$C$4:$C$281,'F0 - Données générales'!$K$31,'F3 - Relevé du personnel'!$B$4:$B$281,11)</f>
        <v>0</v>
      </c>
      <c r="AE182" s="256">
        <f>SUMIFS('F3 - Relevé du personnel'!$P$4:$P$281,'F3 - Relevé du personnel'!$D$4:$D$281,$V182,'F3 - Relevé du personnel'!$C$4:$C$281,'F0 - Données générales'!$K$31,'F3 - Relevé du personnel'!$B$4:$B$281,11)</f>
        <v>0</v>
      </c>
      <c r="AF182" s="256">
        <f>SUMIFS('F3 - Relevé du personnel'!$Q$4:$Q$281,'F3 - Relevé du personnel'!$D$4:$D$281,$V182,'F3 - Relevé du personnel'!$C$4:$C$281,'F0 - Données générales'!$K$31,'F3 - Relevé du personnel'!$B$4:$B$281,11)</f>
        <v>0</v>
      </c>
      <c r="AG182" s="182">
        <f t="shared" si="111"/>
        <v>0</v>
      </c>
      <c r="AH182" s="197" t="str">
        <f t="shared" si="112"/>
        <v/>
      </c>
      <c r="AI182" s="198" t="str">
        <f>IF(Y182=0,"",(SUMPRODUCT(($D$4:$D$253=V182)*($C$4:$C$253='F0 - Données générales'!$K$31)*($E$4:$E$253)*($F$4:$F$253)*($B$4:$B$253=11))+SUMPRODUCT(($D$257:$D$281=V182)*($C$257:$C$281='F0 - Données générales'!$K$31)*($B$257:$B$281=11)*($E$257:$E$281)*($F$257:$F$281)))/(SUMIFS('F3 - Relevé du personnel'!$E$4:$E$281,'F3 - Relevé du personnel'!$D$4:$D$281,$V182,'F3 - Relevé du personnel'!$C$4:$C$281,'F0 - Données générales'!$K$31,'F3 - Relevé du personnel'!$B$4:$B$281,11)))</f>
        <v/>
      </c>
      <c r="AK182" s="752"/>
      <c r="AL182" s="752"/>
      <c r="AM182" s="194"/>
      <c r="AN182" s="753"/>
      <c r="AO182" s="753"/>
      <c r="AP182" s="195"/>
      <c r="AQ182" s="195"/>
      <c r="AR182" s="300"/>
      <c r="AS182" s="300"/>
      <c r="AT182" s="301"/>
      <c r="AU182" s="300"/>
      <c r="AV182" s="300"/>
      <c r="AW182" s="300"/>
      <c r="AX182" s="300"/>
      <c r="AY182" s="300"/>
      <c r="AZ182" s="302"/>
    </row>
    <row r="183" spans="1:74" ht="15" customHeight="1" x14ac:dyDescent="0.3">
      <c r="A183" s="106">
        <v>180</v>
      </c>
      <c r="B183" s="324">
        <f>'F0 - Données générales'!$C$4</f>
        <v>7</v>
      </c>
      <c r="C183" s="106" t="s">
        <v>95</v>
      </c>
      <c r="D183" s="106"/>
      <c r="E183" s="107"/>
      <c r="F183" s="108"/>
      <c r="G183" s="109"/>
      <c r="H183" s="110">
        <f t="shared" si="90"/>
        <v>0</v>
      </c>
      <c r="I183" s="177"/>
      <c r="J183" s="118" t="str">
        <f>IF(OR(D183="",F183=""),"",(((HLOOKUP(D183,'Carrières et points'!$A$20:$AD$60,F183+2,FALSE)*'Carrières et points'!$C$7*'Carrières et points'!$C$9)+(HLOOKUP(D183,'Carrières et points'!$A$20:$AD$60,F183+2,FALSE)*'Carrières et points'!$C$13*'Carrières et points'!$C$15))*(1+'F0 - Données générales'!$I$4)+((HLOOKUP(D183,'Carrières et points'!$A$20:$AD$60,F183+2,FALSE)*'Carrières et points'!$C$7*'Carrières et points'!$C$9)+(HLOOKUP(D183,'Carrières et points'!$A$20:$AD$60,F183+2,FALSE)*'Carrières et points'!$C$13*'Carrières et points'!$C$15))/12*(1+'F0 - Données générales'!$L$13))*E183)</f>
        <v/>
      </c>
      <c r="K183" s="118" t="str">
        <f t="shared" si="91"/>
        <v/>
      </c>
      <c r="L183" s="109"/>
      <c r="M183" s="177"/>
      <c r="N183" s="118" t="str">
        <f t="shared" si="92"/>
        <v/>
      </c>
      <c r="O183" s="177"/>
      <c r="P183" s="177"/>
      <c r="Q183" s="177"/>
      <c r="R183" s="255" t="str">
        <f t="shared" si="93"/>
        <v/>
      </c>
      <c r="S183" s="120"/>
      <c r="T183" s="743"/>
      <c r="U183" s="743"/>
      <c r="V183" s="749" t="s">
        <v>165</v>
      </c>
      <c r="W183" s="749"/>
      <c r="X183" s="749"/>
      <c r="Y183" s="199">
        <f>SUM(Y174:Y182)</f>
        <v>0</v>
      </c>
      <c r="Z183" s="199">
        <f>SUM(Z174:Z182)</f>
        <v>0</v>
      </c>
      <c r="AA183" s="200">
        <f>SUM(AA174:AA182)</f>
        <v>0</v>
      </c>
      <c r="AB183" s="200">
        <f>SUM(AB174:AB182)</f>
        <v>0</v>
      </c>
      <c r="AC183" s="200">
        <f t="shared" si="110"/>
        <v>0</v>
      </c>
      <c r="AD183" s="200">
        <f>SUM(AD174:AD182)</f>
        <v>0</v>
      </c>
      <c r="AE183" s="200">
        <f>SUM(AE174:AE182)</f>
        <v>0</v>
      </c>
      <c r="AF183" s="200">
        <f>SUM(AF174:AF182)</f>
        <v>0</v>
      </c>
      <c r="AG183" s="201">
        <f t="shared" si="111"/>
        <v>0</v>
      </c>
      <c r="AH183" s="201" t="str">
        <f t="shared" si="112"/>
        <v/>
      </c>
      <c r="AI183" s="202"/>
      <c r="AK183" s="754"/>
      <c r="AL183" s="754"/>
      <c r="AM183" s="755"/>
      <c r="AN183" s="755"/>
      <c r="AO183" s="755"/>
      <c r="AP183" s="179"/>
      <c r="AQ183" s="179"/>
      <c r="AR183" s="170"/>
      <c r="AS183" s="170"/>
      <c r="AT183" s="170"/>
      <c r="AU183" s="170"/>
      <c r="AV183" s="170"/>
      <c r="AW183" s="170"/>
      <c r="AX183" s="172"/>
      <c r="AY183" s="172"/>
      <c r="AZ183" s="180"/>
    </row>
    <row r="184" spans="1:74" ht="15" customHeight="1" x14ac:dyDescent="0.3">
      <c r="A184" s="106">
        <v>181</v>
      </c>
      <c r="B184" s="324">
        <f>'F0 - Données générales'!$C$4</f>
        <v>7</v>
      </c>
      <c r="C184" s="106" t="s">
        <v>95</v>
      </c>
      <c r="D184" s="106"/>
      <c r="E184" s="107"/>
      <c r="F184" s="108"/>
      <c r="G184" s="109"/>
      <c r="H184" s="110">
        <f t="shared" si="90"/>
        <v>0</v>
      </c>
      <c r="I184" s="177"/>
      <c r="J184" s="118" t="str">
        <f>IF(OR(D184="",F184=""),"",(((HLOOKUP(D184,'Carrières et points'!$A$20:$AD$60,F184+2,FALSE)*'Carrières et points'!$C$7*'Carrières et points'!$C$9)+(HLOOKUP(D184,'Carrières et points'!$A$20:$AD$60,F184+2,FALSE)*'Carrières et points'!$C$13*'Carrières et points'!$C$15))*(1+'F0 - Données générales'!$I$4)+((HLOOKUP(D184,'Carrières et points'!$A$20:$AD$60,F184+2,FALSE)*'Carrières et points'!$C$7*'Carrières et points'!$C$9)+(HLOOKUP(D184,'Carrières et points'!$A$20:$AD$60,F184+2,FALSE)*'Carrières et points'!$C$13*'Carrières et points'!$C$15))/12*(1+'F0 - Données générales'!$L$13))*E184)</f>
        <v/>
      </c>
      <c r="K184" s="118" t="str">
        <f t="shared" si="91"/>
        <v/>
      </c>
      <c r="L184" s="109"/>
      <c r="M184" s="177"/>
      <c r="N184" s="118" t="str">
        <f t="shared" si="92"/>
        <v/>
      </c>
      <c r="O184" s="177"/>
      <c r="P184" s="177"/>
      <c r="Q184" s="177"/>
      <c r="R184" s="255" t="str">
        <f t="shared" si="93"/>
        <v/>
      </c>
      <c r="S184" s="120"/>
      <c r="T184" s="742" t="s">
        <v>61</v>
      </c>
      <c r="U184" s="742"/>
      <c r="V184" s="26" t="s">
        <v>80</v>
      </c>
      <c r="W184" s="741" t="s">
        <v>81</v>
      </c>
      <c r="X184" s="741"/>
      <c r="Y184" s="181">
        <f>SUMIFS('F3 - Relevé du personnel'!$E$4:$E$281,'F3 - Relevé du personnel'!$D$4:$D$281,$V184,'F3 - Relevé du personnel'!$C$4:$C$281,'F0 - Données générales'!$K$31,'F3 - Relevé du personnel'!$B$4:$B$281,11)</f>
        <v>0</v>
      </c>
      <c r="Z184" s="181">
        <f>SUMIFS('F3 - Relevé du personnel'!$H$4:$H$281,'F3 - Relevé du personnel'!$D$4:$D$281,$V184,'F3 - Relevé du personnel'!$C$4:$C$281,'F0 - Données générales'!$K$31,'F3 - Relevé du personnel'!$B$4:$B$281,11)</f>
        <v>0</v>
      </c>
      <c r="AA184" s="256">
        <f>SUMIFS('F3 - Relevé du personnel'!$I$4:$I$281,'F3 - Relevé du personnel'!$D$4:$D$281,$V184,'F3 - Relevé du personnel'!$C$4:$C$281,'F0 - Données générales'!$K$31,'F3 - Relevé du personnel'!$B$4:$B$281,11)</f>
        <v>0</v>
      </c>
      <c r="AB184" s="256">
        <f>SUMIFS('F3 - Relevé du personnel'!$M$4:$M$281,'F3 - Relevé du personnel'!$D$4:$D$281,$V184,'F3 - Relevé du personnel'!$C$4:$C$281,'F0 - Données générales'!$K$31,'F3 - Relevé du personnel'!$B$4:$B$281,11)</f>
        <v>0</v>
      </c>
      <c r="AC184" s="196">
        <f t="shared" si="110"/>
        <v>0</v>
      </c>
      <c r="AD184" s="256">
        <f>SUMIFS('F3 - Relevé du personnel'!$O$4:$O$281,'F3 - Relevé du personnel'!$D$4:$D$281,$V184,'F3 - Relevé du personnel'!$C$4:$C$281,'F0 - Données générales'!$K$31,'F3 - Relevé du personnel'!$B$4:$B$281,11)</f>
        <v>0</v>
      </c>
      <c r="AE184" s="256">
        <f>SUMIFS('F3 - Relevé du personnel'!$P$4:$P$281,'F3 - Relevé du personnel'!$D$4:$D$281,$V184,'F3 - Relevé du personnel'!$C$4:$C$281,'F0 - Données générales'!$K$31,'F3 - Relevé du personnel'!$B$4:$B$281,11)</f>
        <v>0</v>
      </c>
      <c r="AF184" s="256">
        <f>SUMIFS('F3 - Relevé du personnel'!$Q$4:$Q$281,'F3 - Relevé du personnel'!$D$4:$D$281,$V184,'F3 - Relevé du personnel'!$C$4:$C$281,'F0 - Données générales'!$K$31,'F3 - Relevé du personnel'!$B$4:$B$281,11)</f>
        <v>0</v>
      </c>
      <c r="AG184" s="182">
        <f t="shared" si="111"/>
        <v>0</v>
      </c>
      <c r="AH184" s="197" t="str">
        <f t="shared" si="112"/>
        <v/>
      </c>
      <c r="AI184" s="198" t="str">
        <f>IF(Y184=0,"",(SUMPRODUCT(($D$4:$D$253=V184)*($C$4:$C$253='F0 - Données générales'!$K$31)*($E$4:$E$253)*($F$4:$F$253)*($B$4:$B$253=11))+SUMPRODUCT(($D$257:$D$281=V184)*($C$257:$C$281='F0 - Données générales'!$K$31)*($B$257:$B$281=11)*($E$257:$E$281)*($F$257:$F$281)))/(SUMIFS('F3 - Relevé du personnel'!$E$4:$E$281,'F3 - Relevé du personnel'!$D$4:$D$281,$V184,'F3 - Relevé du personnel'!$C$4:$C$281,'F0 - Données générales'!$K$31,'F3 - Relevé du personnel'!$B$4:$B$281,11)))</f>
        <v/>
      </c>
      <c r="AK184" s="752"/>
      <c r="AL184" s="752"/>
      <c r="AM184" s="194"/>
      <c r="AN184" s="753"/>
      <c r="AO184" s="753"/>
      <c r="AP184" s="195"/>
      <c r="AQ184" s="195"/>
      <c r="AR184" s="300"/>
      <c r="AS184" s="300"/>
      <c r="AT184" s="301"/>
      <c r="AU184" s="300"/>
      <c r="AV184" s="300"/>
      <c r="AW184" s="300"/>
      <c r="AX184" s="300"/>
      <c r="AY184" s="300"/>
      <c r="AZ184" s="302"/>
    </row>
    <row r="185" spans="1:74" ht="15" customHeight="1" x14ac:dyDescent="0.3">
      <c r="A185" s="106">
        <v>182</v>
      </c>
      <c r="B185" s="324">
        <f>'F0 - Données générales'!$C$4</f>
        <v>7</v>
      </c>
      <c r="C185" s="106" t="s">
        <v>95</v>
      </c>
      <c r="D185" s="106"/>
      <c r="E185" s="107"/>
      <c r="F185" s="108"/>
      <c r="G185" s="109"/>
      <c r="H185" s="110">
        <f t="shared" si="90"/>
        <v>0</v>
      </c>
      <c r="I185" s="177"/>
      <c r="J185" s="118" t="str">
        <f>IF(OR(D185="",F185=""),"",(((HLOOKUP(D185,'Carrières et points'!$A$20:$AD$60,F185+2,FALSE)*'Carrières et points'!$C$7*'Carrières et points'!$C$9)+(HLOOKUP(D185,'Carrières et points'!$A$20:$AD$60,F185+2,FALSE)*'Carrières et points'!$C$13*'Carrières et points'!$C$15))*(1+'F0 - Données générales'!$I$4)+((HLOOKUP(D185,'Carrières et points'!$A$20:$AD$60,F185+2,FALSE)*'Carrières et points'!$C$7*'Carrières et points'!$C$9)+(HLOOKUP(D185,'Carrières et points'!$A$20:$AD$60,F185+2,FALSE)*'Carrières et points'!$C$13*'Carrières et points'!$C$15))/12*(1+'F0 - Données générales'!$L$13))*E185)</f>
        <v/>
      </c>
      <c r="K185" s="118" t="str">
        <f t="shared" si="91"/>
        <v/>
      </c>
      <c r="L185" s="109"/>
      <c r="M185" s="177"/>
      <c r="N185" s="118" t="str">
        <f t="shared" si="92"/>
        <v/>
      </c>
      <c r="O185" s="177"/>
      <c r="P185" s="177"/>
      <c r="Q185" s="177"/>
      <c r="R185" s="255" t="str">
        <f t="shared" si="93"/>
        <v/>
      </c>
      <c r="S185" s="120"/>
      <c r="T185" s="742" t="s">
        <v>64</v>
      </c>
      <c r="U185" s="742"/>
      <c r="V185" s="26" t="s">
        <v>82</v>
      </c>
      <c r="W185" s="741" t="s">
        <v>83</v>
      </c>
      <c r="X185" s="741"/>
      <c r="Y185" s="181">
        <f>SUMIFS('F3 - Relevé du personnel'!$E$4:$E$281,'F3 - Relevé du personnel'!$D$4:$D$281,$V185,'F3 - Relevé du personnel'!$C$4:$C$281,'F0 - Données générales'!$K$31,'F3 - Relevé du personnel'!$B$4:$B$281,11)</f>
        <v>0</v>
      </c>
      <c r="Z185" s="181">
        <f>SUMIFS('F3 - Relevé du personnel'!$H$4:$H$281,'F3 - Relevé du personnel'!$D$4:$D$281,$V185,'F3 - Relevé du personnel'!$C$4:$C$281,'F0 - Données générales'!$K$31,'F3 - Relevé du personnel'!$B$4:$B$281,11)</f>
        <v>0</v>
      </c>
      <c r="AA185" s="256">
        <f>SUMIFS('F3 - Relevé du personnel'!$I$4:$I$281,'F3 - Relevé du personnel'!$D$4:$D$281,$V185,'F3 - Relevé du personnel'!$C$4:$C$281,'F0 - Données générales'!$K$31,'F3 - Relevé du personnel'!$B$4:$B$281,11)</f>
        <v>0</v>
      </c>
      <c r="AB185" s="256">
        <f>SUMIFS('F3 - Relevé du personnel'!$M$4:$M$281,'F3 - Relevé du personnel'!$D$4:$D$281,$V185,'F3 - Relevé du personnel'!$C$4:$C$281,'F0 - Données générales'!$K$31,'F3 - Relevé du personnel'!$B$4:$B$281,11)</f>
        <v>0</v>
      </c>
      <c r="AC185" s="196">
        <f t="shared" si="110"/>
        <v>0</v>
      </c>
      <c r="AD185" s="256">
        <f>SUMIFS('F3 - Relevé du personnel'!$O$4:$O$281,'F3 - Relevé du personnel'!$D$4:$D$281,$V185,'F3 - Relevé du personnel'!$C$4:$C$281,'F0 - Données générales'!$K$31,'F3 - Relevé du personnel'!$B$4:$B$281,11)</f>
        <v>0</v>
      </c>
      <c r="AE185" s="256">
        <f>SUMIFS('F3 - Relevé du personnel'!$P$4:$P$281,'F3 - Relevé du personnel'!$D$4:$D$281,$V185,'F3 - Relevé du personnel'!$C$4:$C$281,'F0 - Données générales'!$K$31,'F3 - Relevé du personnel'!$B$4:$B$281,11)</f>
        <v>0</v>
      </c>
      <c r="AF185" s="256">
        <f>SUMIFS('F3 - Relevé du personnel'!$Q$4:$Q$281,'F3 - Relevé du personnel'!$D$4:$D$281,$V185,'F3 - Relevé du personnel'!$C$4:$C$281,'F0 - Données générales'!$K$31,'F3 - Relevé du personnel'!$B$4:$B$281,11)</f>
        <v>0</v>
      </c>
      <c r="AG185" s="182">
        <f t="shared" si="111"/>
        <v>0</v>
      </c>
      <c r="AH185" s="197" t="str">
        <f t="shared" si="112"/>
        <v/>
      </c>
      <c r="AI185" s="198" t="str">
        <f>IF(Y185=0,"",(SUMPRODUCT(($D$4:$D$253=V185)*($C$4:$C$253='F0 - Données générales'!$K$31)*($E$4:$E$253)*($F$4:$F$253)*($B$4:$B$253=11))+SUMPRODUCT(($D$257:$D$281=V185)*($C$257:$C$281='F0 - Données générales'!$K$31)*($B$257:$B$281=11)*($E$257:$E$281)*($F$257:$F$281)))/(SUMIFS('F3 - Relevé du personnel'!$E$4:$E$281,'F3 - Relevé du personnel'!$D$4:$D$281,$V185,'F3 - Relevé du personnel'!$C$4:$C$281,'F0 - Données générales'!$K$31,'F3 - Relevé du personnel'!$B$4:$B$281,11)))</f>
        <v/>
      </c>
      <c r="AK185" s="752"/>
      <c r="AL185" s="752"/>
      <c r="AM185" s="194"/>
      <c r="AN185" s="753"/>
      <c r="AO185" s="753"/>
      <c r="AP185" s="195"/>
      <c r="AQ185" s="195"/>
      <c r="AR185" s="300"/>
      <c r="AS185" s="300"/>
      <c r="AT185" s="301"/>
      <c r="AU185" s="300"/>
      <c r="AV185" s="300"/>
      <c r="AW185" s="300"/>
      <c r="AX185" s="300"/>
      <c r="AY185" s="300"/>
      <c r="AZ185" s="302"/>
    </row>
    <row r="186" spans="1:74" ht="15" customHeight="1" x14ac:dyDescent="0.3">
      <c r="A186" s="106">
        <v>183</v>
      </c>
      <c r="B186" s="324">
        <f>'F0 - Données générales'!$C$4</f>
        <v>7</v>
      </c>
      <c r="C186" s="106" t="s">
        <v>95</v>
      </c>
      <c r="D186" s="106"/>
      <c r="E186" s="107"/>
      <c r="F186" s="108"/>
      <c r="G186" s="109"/>
      <c r="H186" s="110">
        <f t="shared" si="90"/>
        <v>0</v>
      </c>
      <c r="I186" s="177"/>
      <c r="J186" s="118" t="str">
        <f>IF(OR(D186="",F186=""),"",(((HLOOKUP(D186,'Carrières et points'!$A$20:$AD$60,F186+2,FALSE)*'Carrières et points'!$C$7*'Carrières et points'!$C$9)+(HLOOKUP(D186,'Carrières et points'!$A$20:$AD$60,F186+2,FALSE)*'Carrières et points'!$C$13*'Carrières et points'!$C$15))*(1+'F0 - Données générales'!$I$4)+((HLOOKUP(D186,'Carrières et points'!$A$20:$AD$60,F186+2,FALSE)*'Carrières et points'!$C$7*'Carrières et points'!$C$9)+(HLOOKUP(D186,'Carrières et points'!$A$20:$AD$60,F186+2,FALSE)*'Carrières et points'!$C$13*'Carrières et points'!$C$15))/12*(1+'F0 - Données générales'!$L$13))*E186)</f>
        <v/>
      </c>
      <c r="K186" s="118" t="str">
        <f t="shared" si="91"/>
        <v/>
      </c>
      <c r="L186" s="109"/>
      <c r="M186" s="177"/>
      <c r="N186" s="118" t="str">
        <f t="shared" si="92"/>
        <v/>
      </c>
      <c r="O186" s="177"/>
      <c r="P186" s="177"/>
      <c r="Q186" s="177"/>
      <c r="R186" s="255" t="str">
        <f t="shared" si="93"/>
        <v/>
      </c>
      <c r="S186" s="120"/>
      <c r="T186" s="742" t="s">
        <v>65</v>
      </c>
      <c r="U186" s="742"/>
      <c r="V186" s="26" t="s">
        <v>84</v>
      </c>
      <c r="W186" s="741" t="s">
        <v>85</v>
      </c>
      <c r="X186" s="741"/>
      <c r="Y186" s="181">
        <f>SUMIFS('F3 - Relevé du personnel'!$E$4:$E$281,'F3 - Relevé du personnel'!$D$4:$D$281,$V186,'F3 - Relevé du personnel'!$C$4:$C$281,'F0 - Données générales'!$K$31,'F3 - Relevé du personnel'!$B$4:$B$281,11)</f>
        <v>0</v>
      </c>
      <c r="Z186" s="181">
        <f>SUMIFS('F3 - Relevé du personnel'!$H$4:$H$281,'F3 - Relevé du personnel'!$D$4:$D$281,$V186,'F3 - Relevé du personnel'!$C$4:$C$281,'F0 - Données générales'!$K$31,'F3 - Relevé du personnel'!$B$4:$B$281,11)</f>
        <v>0</v>
      </c>
      <c r="AA186" s="256">
        <f>SUMIFS('F3 - Relevé du personnel'!$I$4:$I$281,'F3 - Relevé du personnel'!$D$4:$D$281,$V186,'F3 - Relevé du personnel'!$C$4:$C$281,'F0 - Données générales'!$K$31,'F3 - Relevé du personnel'!$B$4:$B$281,11)</f>
        <v>0</v>
      </c>
      <c r="AB186" s="256">
        <f>SUMIFS('F3 - Relevé du personnel'!$M$4:$M$281,'F3 - Relevé du personnel'!$D$4:$D$281,$V186,'F3 - Relevé du personnel'!$C$4:$C$281,'F0 - Données générales'!$K$31,'F3 - Relevé du personnel'!$B$4:$B$281,11)</f>
        <v>0</v>
      </c>
      <c r="AC186" s="196">
        <f t="shared" si="110"/>
        <v>0</v>
      </c>
      <c r="AD186" s="256">
        <f>SUMIFS('F3 - Relevé du personnel'!$O$4:$O$281,'F3 - Relevé du personnel'!$D$4:$D$281,$V186,'F3 - Relevé du personnel'!$C$4:$C$281,'F0 - Données générales'!$K$31,'F3 - Relevé du personnel'!$B$4:$B$281,11)</f>
        <v>0</v>
      </c>
      <c r="AE186" s="256">
        <f>SUMIFS('F3 - Relevé du personnel'!$P$4:$P$281,'F3 - Relevé du personnel'!$D$4:$D$281,$V186,'F3 - Relevé du personnel'!$C$4:$C$281,'F0 - Données générales'!$K$31,'F3 - Relevé du personnel'!$B$4:$B$281,11)</f>
        <v>0</v>
      </c>
      <c r="AF186" s="256">
        <f>SUMIFS('F3 - Relevé du personnel'!$Q$4:$Q$281,'F3 - Relevé du personnel'!$D$4:$D$281,$V186,'F3 - Relevé du personnel'!$C$4:$C$281,'F0 - Données générales'!$K$31,'F3 - Relevé du personnel'!$B$4:$B$281,11)</f>
        <v>0</v>
      </c>
      <c r="AG186" s="182">
        <f t="shared" si="111"/>
        <v>0</v>
      </c>
      <c r="AH186" s="197" t="str">
        <f t="shared" si="112"/>
        <v/>
      </c>
      <c r="AI186" s="198" t="str">
        <f>IF(Y186=0,"",(SUMPRODUCT(($D$4:$D$253=V186)*($C$4:$C$253='F0 - Données générales'!$K$31)*($E$4:$E$253)*($F$4:$F$253)*($B$4:$B$253=11))+SUMPRODUCT(($D$257:$D$281=V186)*($C$257:$C$281='F0 - Données générales'!$K$31)*($B$257:$B$281=11)*($E$257:$E$281)*($F$257:$F$281)))/(SUMIFS('F3 - Relevé du personnel'!$E$4:$E$281,'F3 - Relevé du personnel'!$D$4:$D$281,$V186,'F3 - Relevé du personnel'!$C$4:$C$281,'F0 - Données générales'!$K$31,'F3 - Relevé du personnel'!$B$4:$B$281,11)))</f>
        <v/>
      </c>
      <c r="AK186" s="752"/>
      <c r="AL186" s="752"/>
      <c r="AM186" s="194"/>
      <c r="AN186" s="753"/>
      <c r="AO186" s="753"/>
      <c r="AP186" s="195"/>
      <c r="AQ186" s="195"/>
      <c r="AR186" s="300"/>
      <c r="AS186" s="300"/>
      <c r="AT186" s="301"/>
      <c r="AU186" s="300"/>
      <c r="AV186" s="300"/>
      <c r="AW186" s="300"/>
      <c r="AX186" s="300"/>
      <c r="AY186" s="300"/>
      <c r="AZ186" s="302"/>
    </row>
    <row r="187" spans="1:74" ht="15" customHeight="1" x14ac:dyDescent="0.3">
      <c r="A187" s="106">
        <v>184</v>
      </c>
      <c r="B187" s="324">
        <f>'F0 - Données générales'!$C$4</f>
        <v>7</v>
      </c>
      <c r="C187" s="106" t="s">
        <v>95</v>
      </c>
      <c r="D187" s="106"/>
      <c r="E187" s="107"/>
      <c r="F187" s="108"/>
      <c r="G187" s="109"/>
      <c r="H187" s="110">
        <f t="shared" si="90"/>
        <v>0</v>
      </c>
      <c r="I187" s="177"/>
      <c r="J187" s="118" t="str">
        <f>IF(OR(D187="",F187=""),"",(((HLOOKUP(D187,'Carrières et points'!$A$20:$AD$60,F187+2,FALSE)*'Carrières et points'!$C$7*'Carrières et points'!$C$9)+(HLOOKUP(D187,'Carrières et points'!$A$20:$AD$60,F187+2,FALSE)*'Carrières et points'!$C$13*'Carrières et points'!$C$15))*(1+'F0 - Données générales'!$I$4)+((HLOOKUP(D187,'Carrières et points'!$A$20:$AD$60,F187+2,FALSE)*'Carrières et points'!$C$7*'Carrières et points'!$C$9)+(HLOOKUP(D187,'Carrières et points'!$A$20:$AD$60,F187+2,FALSE)*'Carrières et points'!$C$13*'Carrières et points'!$C$15))/12*(1+'F0 - Données générales'!$L$13))*E187)</f>
        <v/>
      </c>
      <c r="K187" s="118" t="str">
        <f t="shared" si="91"/>
        <v/>
      </c>
      <c r="L187" s="109"/>
      <c r="M187" s="177"/>
      <c r="N187" s="118" t="str">
        <f t="shared" si="92"/>
        <v/>
      </c>
      <c r="O187" s="177"/>
      <c r="P187" s="177"/>
      <c r="Q187" s="177"/>
      <c r="R187" s="255" t="str">
        <f t="shared" si="93"/>
        <v/>
      </c>
      <c r="S187" s="120"/>
      <c r="T187" s="742" t="s">
        <v>79</v>
      </c>
      <c r="U187" s="742"/>
      <c r="V187" s="26" t="s">
        <v>86</v>
      </c>
      <c r="W187" s="741" t="s">
        <v>87</v>
      </c>
      <c r="X187" s="741"/>
      <c r="Y187" s="181">
        <f>SUMIFS('F3 - Relevé du personnel'!$E$4:$E$281,'F3 - Relevé du personnel'!$D$4:$D$281,$V187,'F3 - Relevé du personnel'!$C$4:$C$281,'F0 - Données générales'!$K$31,'F3 - Relevé du personnel'!$B$4:$B$281,11)</f>
        <v>0</v>
      </c>
      <c r="Z187" s="181">
        <f>SUMIFS('F3 - Relevé du personnel'!$H$4:$H$281,'F3 - Relevé du personnel'!$D$4:$D$281,$V187,'F3 - Relevé du personnel'!$C$4:$C$281,'F0 - Données générales'!$K$31,'F3 - Relevé du personnel'!$B$4:$B$281,11)</f>
        <v>0</v>
      </c>
      <c r="AA187" s="256">
        <f>SUMIFS('F3 - Relevé du personnel'!$I$4:$I$281,'F3 - Relevé du personnel'!$D$4:$D$281,$V187,'F3 - Relevé du personnel'!$C$4:$C$281,'F0 - Données générales'!$K$31,'F3 - Relevé du personnel'!$B$4:$B$281,11)</f>
        <v>0</v>
      </c>
      <c r="AB187" s="256">
        <f>SUMIFS('F3 - Relevé du personnel'!$M$4:$M$281,'F3 - Relevé du personnel'!$D$4:$D$281,$V187,'F3 - Relevé du personnel'!$C$4:$C$281,'F0 - Données générales'!$K$31,'F3 - Relevé du personnel'!$B$4:$B$281,11)</f>
        <v>0</v>
      </c>
      <c r="AC187" s="196">
        <f t="shared" si="110"/>
        <v>0</v>
      </c>
      <c r="AD187" s="256">
        <f>SUMIFS('F3 - Relevé du personnel'!$O$4:$O$281,'F3 - Relevé du personnel'!$D$4:$D$281,$V187,'F3 - Relevé du personnel'!$C$4:$C$281,'F0 - Données générales'!$K$31,'F3 - Relevé du personnel'!$B$4:$B$281,11)</f>
        <v>0</v>
      </c>
      <c r="AE187" s="256">
        <f>SUMIFS('F3 - Relevé du personnel'!$P$4:$P$281,'F3 - Relevé du personnel'!$D$4:$D$281,$V187,'F3 - Relevé du personnel'!$C$4:$C$281,'F0 - Données générales'!$K$31,'F3 - Relevé du personnel'!$B$4:$B$281,11)</f>
        <v>0</v>
      </c>
      <c r="AF187" s="256">
        <f>SUMIFS('F3 - Relevé du personnel'!$Q$4:$Q$281,'F3 - Relevé du personnel'!$D$4:$D$281,$V187,'F3 - Relevé du personnel'!$C$4:$C$281,'F0 - Données générales'!$K$31,'F3 - Relevé du personnel'!$B$4:$B$281,11)</f>
        <v>0</v>
      </c>
      <c r="AG187" s="182">
        <f t="shared" si="111"/>
        <v>0</v>
      </c>
      <c r="AH187" s="197" t="str">
        <f t="shared" si="112"/>
        <v/>
      </c>
      <c r="AI187" s="198" t="str">
        <f>IF(Y187=0,"",(SUMPRODUCT(($D$4:$D$253=V187)*($C$4:$C$253='F0 - Données générales'!$K$31)*($E$4:$E$253)*($F$4:$F$253)*($B$4:$B$253=11))+SUMPRODUCT(($D$257:$D$281=V187)*($C$257:$C$281='F0 - Données générales'!$K$31)*($B$257:$B$281=11)*($E$257:$E$281)*($F$257:$F$281)))/(SUMIFS('F3 - Relevé du personnel'!$E$4:$E$281,'F3 - Relevé du personnel'!$D$4:$D$281,$V187,'F3 - Relevé du personnel'!$C$4:$C$281,'F0 - Données générales'!$K$31,'F3 - Relevé du personnel'!$B$4:$B$281,11)))</f>
        <v/>
      </c>
      <c r="AK187" s="752"/>
      <c r="AL187" s="752"/>
      <c r="AM187" s="194"/>
      <c r="AN187" s="753"/>
      <c r="AO187" s="753"/>
      <c r="AP187" s="195"/>
      <c r="AQ187" s="195"/>
      <c r="AR187" s="300"/>
      <c r="AS187" s="300"/>
      <c r="AT187" s="301"/>
      <c r="AU187" s="300"/>
      <c r="AV187" s="300"/>
      <c r="AW187" s="300"/>
      <c r="AX187" s="300"/>
      <c r="AY187" s="300"/>
      <c r="AZ187" s="302"/>
    </row>
    <row r="188" spans="1:74" ht="15" customHeight="1" x14ac:dyDescent="0.3">
      <c r="A188" s="106">
        <v>185</v>
      </c>
      <c r="B188" s="324">
        <f>'F0 - Données générales'!$C$4</f>
        <v>7</v>
      </c>
      <c r="C188" s="106" t="s">
        <v>95</v>
      </c>
      <c r="D188" s="106"/>
      <c r="E188" s="107"/>
      <c r="F188" s="108"/>
      <c r="G188" s="109"/>
      <c r="H188" s="110">
        <f t="shared" si="90"/>
        <v>0</v>
      </c>
      <c r="I188" s="177"/>
      <c r="J188" s="118" t="str">
        <f>IF(OR(D188="",F188=""),"",(((HLOOKUP(D188,'Carrières et points'!$A$20:$AD$60,F188+2,FALSE)*'Carrières et points'!$C$7*'Carrières et points'!$C$9)+(HLOOKUP(D188,'Carrières et points'!$A$20:$AD$60,F188+2,FALSE)*'Carrières et points'!$C$13*'Carrières et points'!$C$15))*(1+'F0 - Données générales'!$I$4)+((HLOOKUP(D188,'Carrières et points'!$A$20:$AD$60,F188+2,FALSE)*'Carrières et points'!$C$7*'Carrières et points'!$C$9)+(HLOOKUP(D188,'Carrières et points'!$A$20:$AD$60,F188+2,FALSE)*'Carrières et points'!$C$13*'Carrières et points'!$C$15))/12*(1+'F0 - Données générales'!$L$13))*E188)</f>
        <v/>
      </c>
      <c r="K188" s="118" t="str">
        <f t="shared" si="91"/>
        <v/>
      </c>
      <c r="L188" s="109"/>
      <c r="M188" s="177"/>
      <c r="N188" s="118" t="str">
        <f t="shared" si="92"/>
        <v/>
      </c>
      <c r="O188" s="177"/>
      <c r="P188" s="177"/>
      <c r="Q188" s="177"/>
      <c r="R188" s="255" t="str">
        <f t="shared" si="93"/>
        <v/>
      </c>
      <c r="S188" s="120"/>
      <c r="T188" s="742" t="s">
        <v>79</v>
      </c>
      <c r="U188" s="742"/>
      <c r="V188" s="26" t="s">
        <v>88</v>
      </c>
      <c r="W188" s="741" t="s">
        <v>89</v>
      </c>
      <c r="X188" s="741"/>
      <c r="Y188" s="181">
        <f>SUMIFS('F3 - Relevé du personnel'!$E$4:$E$281,'F3 - Relevé du personnel'!$D$4:$D$281,$V188,'F3 - Relevé du personnel'!$C$4:$C$281,'F0 - Données générales'!$K$31,'F3 - Relevé du personnel'!$B$4:$B$281,11)</f>
        <v>0</v>
      </c>
      <c r="Z188" s="181">
        <f>SUMIFS('F3 - Relevé du personnel'!$H$4:$H$281,'F3 - Relevé du personnel'!$D$4:$D$281,$V188,'F3 - Relevé du personnel'!$C$4:$C$281,'F0 - Données générales'!$K$31,'F3 - Relevé du personnel'!$B$4:$B$281,11)</f>
        <v>0</v>
      </c>
      <c r="AA188" s="256">
        <f>SUMIFS('F3 - Relevé du personnel'!$I$4:$I$281,'F3 - Relevé du personnel'!$D$4:$D$281,$V188,'F3 - Relevé du personnel'!$C$4:$C$281,'F0 - Données générales'!$K$31,'F3 - Relevé du personnel'!$B$4:$B$281,11)</f>
        <v>0</v>
      </c>
      <c r="AB188" s="256">
        <f>SUMIFS('F3 - Relevé du personnel'!$M$4:$M$281,'F3 - Relevé du personnel'!$D$4:$D$281,$V188,'F3 - Relevé du personnel'!$C$4:$C$281,'F0 - Données générales'!$K$31,'F3 - Relevé du personnel'!$B$4:$B$281,11)</f>
        <v>0</v>
      </c>
      <c r="AC188" s="196">
        <f t="shared" si="110"/>
        <v>0</v>
      </c>
      <c r="AD188" s="256">
        <f>SUMIFS('F3 - Relevé du personnel'!$O$4:$O$281,'F3 - Relevé du personnel'!$D$4:$D$281,$V188,'F3 - Relevé du personnel'!$C$4:$C$281,'F0 - Données générales'!$K$31,'F3 - Relevé du personnel'!$B$4:$B$281,11)</f>
        <v>0</v>
      </c>
      <c r="AE188" s="256">
        <f>SUMIFS('F3 - Relevé du personnel'!$P$4:$P$281,'F3 - Relevé du personnel'!$D$4:$D$281,$V188,'F3 - Relevé du personnel'!$C$4:$C$281,'F0 - Données générales'!$K$31,'F3 - Relevé du personnel'!$B$4:$B$281,11)</f>
        <v>0</v>
      </c>
      <c r="AF188" s="256">
        <f>SUMIFS('F3 - Relevé du personnel'!$Q$4:$Q$281,'F3 - Relevé du personnel'!$D$4:$D$281,$V188,'F3 - Relevé du personnel'!$C$4:$C$281,'F0 - Données générales'!$K$31,'F3 - Relevé du personnel'!$B$4:$B$281,11)</f>
        <v>0</v>
      </c>
      <c r="AG188" s="182">
        <f t="shared" si="111"/>
        <v>0</v>
      </c>
      <c r="AH188" s="197" t="str">
        <f t="shared" si="112"/>
        <v/>
      </c>
      <c r="AI188" s="198" t="str">
        <f>IF(Y188=0,"",(SUMPRODUCT(($D$4:$D$253=V188)*($C$4:$C$253='F0 - Données générales'!$K$31)*($E$4:$E$253)*($F$4:$F$253)*($B$4:$B$253=11))+SUMPRODUCT(($D$257:$D$281=V188)*($C$257:$C$281='F0 - Données générales'!$K$31)*($B$257:$B$281=11)*($E$257:$E$281)*($F$257:$F$281)))/(SUMIFS('F3 - Relevé du personnel'!$E$4:$E$281,'F3 - Relevé du personnel'!$D$4:$D$281,$V188,'F3 - Relevé du personnel'!$C$4:$C$281,'F0 - Données générales'!$K$31,'F3 - Relevé du personnel'!$B$4:$B$281,11)))</f>
        <v/>
      </c>
      <c r="AK188" s="752"/>
      <c r="AL188" s="752"/>
      <c r="AM188" s="194"/>
      <c r="AN188" s="753"/>
      <c r="AO188" s="753"/>
      <c r="AP188" s="195"/>
      <c r="AQ188" s="195"/>
      <c r="AR188" s="300"/>
      <c r="AS188" s="300"/>
      <c r="AT188" s="301"/>
      <c r="AU188" s="300"/>
      <c r="AV188" s="300"/>
      <c r="AW188" s="300"/>
      <c r="AX188" s="300"/>
      <c r="AY188" s="300"/>
      <c r="AZ188" s="302"/>
    </row>
    <row r="189" spans="1:74" ht="15" customHeight="1" x14ac:dyDescent="0.3">
      <c r="A189" s="106">
        <v>186</v>
      </c>
      <c r="B189" s="324">
        <f>'F0 - Données générales'!$C$4</f>
        <v>7</v>
      </c>
      <c r="C189" s="106" t="s">
        <v>95</v>
      </c>
      <c r="D189" s="106"/>
      <c r="E189" s="107"/>
      <c r="F189" s="108"/>
      <c r="G189" s="109"/>
      <c r="H189" s="110">
        <f t="shared" si="90"/>
        <v>0</v>
      </c>
      <c r="I189" s="177"/>
      <c r="J189" s="118" t="str">
        <f>IF(OR(D189="",F189=""),"",(((HLOOKUP(D189,'Carrières et points'!$A$20:$AD$60,F189+2,FALSE)*'Carrières et points'!$C$7*'Carrières et points'!$C$9)+(HLOOKUP(D189,'Carrières et points'!$A$20:$AD$60,F189+2,FALSE)*'Carrières et points'!$C$13*'Carrières et points'!$C$15))*(1+'F0 - Données générales'!$I$4)+((HLOOKUP(D189,'Carrières et points'!$A$20:$AD$60,F189+2,FALSE)*'Carrières et points'!$C$7*'Carrières et points'!$C$9)+(HLOOKUP(D189,'Carrières et points'!$A$20:$AD$60,F189+2,FALSE)*'Carrières et points'!$C$13*'Carrières et points'!$C$15))/12*(1+'F0 - Données générales'!$L$13))*E189)</f>
        <v/>
      </c>
      <c r="K189" s="118" t="str">
        <f t="shared" si="91"/>
        <v/>
      </c>
      <c r="L189" s="109"/>
      <c r="M189" s="177"/>
      <c r="N189" s="118" t="str">
        <f t="shared" si="92"/>
        <v/>
      </c>
      <c r="O189" s="177"/>
      <c r="P189" s="177"/>
      <c r="Q189" s="177"/>
      <c r="R189" s="255" t="str">
        <f t="shared" si="93"/>
        <v/>
      </c>
      <c r="S189" s="120"/>
      <c r="T189" s="742" t="s">
        <v>79</v>
      </c>
      <c r="U189" s="742"/>
      <c r="V189" s="26" t="s">
        <v>90</v>
      </c>
      <c r="W189" s="741" t="s">
        <v>91</v>
      </c>
      <c r="X189" s="741"/>
      <c r="Y189" s="181">
        <f>SUMIFS('F3 - Relevé du personnel'!$E$4:$E$281,'F3 - Relevé du personnel'!$D$4:$D$281,$V189,'F3 - Relevé du personnel'!$C$4:$C$281,'F0 - Données générales'!$K$31,'F3 - Relevé du personnel'!$B$4:$B$281,11)</f>
        <v>0</v>
      </c>
      <c r="Z189" s="181">
        <f>SUMIFS('F3 - Relevé du personnel'!$H$4:$H$281,'F3 - Relevé du personnel'!$D$4:$D$281,$V189,'F3 - Relevé du personnel'!$C$4:$C$281,'F0 - Données générales'!$K$31,'F3 - Relevé du personnel'!$B$4:$B$281,11)</f>
        <v>0</v>
      </c>
      <c r="AA189" s="256">
        <f>SUMIFS('F3 - Relevé du personnel'!$I$4:$I$281,'F3 - Relevé du personnel'!$D$4:$D$281,$V189,'F3 - Relevé du personnel'!$C$4:$C$281,'F0 - Données générales'!$K$31,'F3 - Relevé du personnel'!$B$4:$B$281,11)</f>
        <v>0</v>
      </c>
      <c r="AB189" s="256">
        <f>SUMIFS('F3 - Relevé du personnel'!$M$4:$M$281,'F3 - Relevé du personnel'!$D$4:$D$281,$V189,'F3 - Relevé du personnel'!$C$4:$C$281,'F0 - Données générales'!$K$31,'F3 - Relevé du personnel'!$B$4:$B$281,11)</f>
        <v>0</v>
      </c>
      <c r="AC189" s="196">
        <f t="shared" si="110"/>
        <v>0</v>
      </c>
      <c r="AD189" s="256">
        <f>SUMIFS('F3 - Relevé du personnel'!$O$4:$O$281,'F3 - Relevé du personnel'!$D$4:$D$281,$V189,'F3 - Relevé du personnel'!$C$4:$C$281,'F0 - Données générales'!$K$31,'F3 - Relevé du personnel'!$B$4:$B$281,11)</f>
        <v>0</v>
      </c>
      <c r="AE189" s="256">
        <f>SUMIFS('F3 - Relevé du personnel'!$P$4:$P$281,'F3 - Relevé du personnel'!$D$4:$D$281,$V189,'F3 - Relevé du personnel'!$C$4:$C$281,'F0 - Données générales'!$K$31,'F3 - Relevé du personnel'!$B$4:$B$281,11)</f>
        <v>0</v>
      </c>
      <c r="AF189" s="256">
        <f>SUMIFS('F3 - Relevé du personnel'!$Q$4:$Q$281,'F3 - Relevé du personnel'!$D$4:$D$281,$V189,'F3 - Relevé du personnel'!$C$4:$C$281,'F0 - Données générales'!$K$31,'F3 - Relevé du personnel'!$B$4:$B$281,11)</f>
        <v>0</v>
      </c>
      <c r="AG189" s="182">
        <f t="shared" si="111"/>
        <v>0</v>
      </c>
      <c r="AH189" s="197" t="str">
        <f t="shared" si="112"/>
        <v/>
      </c>
      <c r="AI189" s="198" t="str">
        <f>IF(Y189=0,"",(SUMPRODUCT(($D$4:$D$253=V189)*($C$4:$C$253='F0 - Données générales'!$K$31)*($E$4:$E$253)*($F$4:$F$253)*($B$4:$B$253=11))+SUMPRODUCT(($D$257:$D$281=V189)*($C$257:$C$281='F0 - Données générales'!$K$31)*($B$257:$B$281=11)*($E$257:$E$281)*($F$257:$F$281)))/(SUMIFS('F3 - Relevé du personnel'!$E$4:$E$281,'F3 - Relevé du personnel'!$D$4:$D$281,$V189,'F3 - Relevé du personnel'!$C$4:$C$281,'F0 - Données générales'!$K$31,'F3 - Relevé du personnel'!$B$4:$B$281,11)))</f>
        <v/>
      </c>
      <c r="AK189" s="752"/>
      <c r="AL189" s="752"/>
      <c r="AM189" s="194"/>
      <c r="AN189" s="753"/>
      <c r="AO189" s="753"/>
      <c r="AP189" s="195"/>
      <c r="AQ189" s="195"/>
      <c r="AR189" s="300"/>
      <c r="AS189" s="300"/>
      <c r="AT189" s="301"/>
      <c r="AU189" s="300"/>
      <c r="AV189" s="300"/>
      <c r="AW189" s="300"/>
      <c r="AX189" s="300"/>
      <c r="AY189" s="300"/>
      <c r="AZ189" s="302"/>
    </row>
    <row r="190" spans="1:74" ht="15" customHeight="1" x14ac:dyDescent="0.3">
      <c r="A190" s="106">
        <v>187</v>
      </c>
      <c r="B190" s="324">
        <f>'F0 - Données générales'!$C$4</f>
        <v>7</v>
      </c>
      <c r="C190" s="106" t="s">
        <v>95</v>
      </c>
      <c r="D190" s="106"/>
      <c r="E190" s="107"/>
      <c r="F190" s="108"/>
      <c r="G190" s="109"/>
      <c r="H190" s="110">
        <f t="shared" si="90"/>
        <v>0</v>
      </c>
      <c r="I190" s="177"/>
      <c r="J190" s="118" t="str">
        <f>IF(OR(D190="",F190=""),"",(((HLOOKUP(D190,'Carrières et points'!$A$20:$AD$60,F190+2,FALSE)*'Carrières et points'!$C$7*'Carrières et points'!$C$9)+(HLOOKUP(D190,'Carrières et points'!$A$20:$AD$60,F190+2,FALSE)*'Carrières et points'!$C$13*'Carrières et points'!$C$15))*(1+'F0 - Données générales'!$I$4)+((HLOOKUP(D190,'Carrières et points'!$A$20:$AD$60,F190+2,FALSE)*'Carrières et points'!$C$7*'Carrières et points'!$C$9)+(HLOOKUP(D190,'Carrières et points'!$A$20:$AD$60,F190+2,FALSE)*'Carrières et points'!$C$13*'Carrières et points'!$C$15))/12*(1+'F0 - Données générales'!$L$13))*E190)</f>
        <v/>
      </c>
      <c r="K190" s="118" t="str">
        <f t="shared" si="91"/>
        <v/>
      </c>
      <c r="L190" s="109"/>
      <c r="M190" s="177"/>
      <c r="N190" s="118" t="str">
        <f t="shared" si="92"/>
        <v/>
      </c>
      <c r="O190" s="177"/>
      <c r="P190" s="177"/>
      <c r="Q190" s="177"/>
      <c r="R190" s="255" t="str">
        <f t="shared" si="93"/>
        <v/>
      </c>
      <c r="S190" s="120"/>
      <c r="T190" s="743"/>
      <c r="U190" s="743"/>
      <c r="V190" s="749" t="s">
        <v>166</v>
      </c>
      <c r="W190" s="749"/>
      <c r="X190" s="749"/>
      <c r="Y190" s="199">
        <f>SUM(Y184:Y189)</f>
        <v>0</v>
      </c>
      <c r="Z190" s="199">
        <f>SUM(Z184:Z189)</f>
        <v>0</v>
      </c>
      <c r="AA190" s="200">
        <f>SUM(AA184:AA189)</f>
        <v>0</v>
      </c>
      <c r="AB190" s="200">
        <f>SUM(AB184:AB189)</f>
        <v>0</v>
      </c>
      <c r="AC190" s="200">
        <f t="shared" si="110"/>
        <v>0</v>
      </c>
      <c r="AD190" s="200">
        <f>SUM(AD184:AD189)</f>
        <v>0</v>
      </c>
      <c r="AE190" s="200">
        <f>SUM(AE184:AE189)</f>
        <v>0</v>
      </c>
      <c r="AF190" s="200">
        <f>SUM(AF184:AF189)</f>
        <v>0</v>
      </c>
      <c r="AG190" s="201">
        <f t="shared" si="111"/>
        <v>0</v>
      </c>
      <c r="AH190" s="201" t="str">
        <f t="shared" si="112"/>
        <v/>
      </c>
      <c r="AI190" s="202"/>
      <c r="AK190" s="754"/>
      <c r="AL190" s="754"/>
      <c r="AM190" s="755"/>
      <c r="AN190" s="755"/>
      <c r="AO190" s="755"/>
      <c r="AP190" s="179"/>
      <c r="AQ190" s="179"/>
      <c r="AR190" s="170"/>
      <c r="AS190" s="170"/>
      <c r="AT190" s="170"/>
      <c r="AU190" s="170"/>
      <c r="AV190" s="170"/>
      <c r="AW190" s="170"/>
      <c r="AX190" s="172"/>
      <c r="AY190" s="172"/>
      <c r="AZ190" s="180"/>
    </row>
    <row r="191" spans="1:74" ht="15" customHeight="1" x14ac:dyDescent="0.3">
      <c r="A191" s="106">
        <v>188</v>
      </c>
      <c r="B191" s="324">
        <f>'F0 - Données générales'!$C$4</f>
        <v>7</v>
      </c>
      <c r="C191" s="106" t="s">
        <v>95</v>
      </c>
      <c r="D191" s="106"/>
      <c r="E191" s="107"/>
      <c r="F191" s="108"/>
      <c r="G191" s="109"/>
      <c r="H191" s="110">
        <f t="shared" si="90"/>
        <v>0</v>
      </c>
      <c r="I191" s="177"/>
      <c r="J191" s="118" t="str">
        <f>IF(OR(D191="",F191=""),"",(((HLOOKUP(D191,'Carrières et points'!$A$20:$AD$60,F191+2,FALSE)*'Carrières et points'!$C$7*'Carrières et points'!$C$9)+(HLOOKUP(D191,'Carrières et points'!$A$20:$AD$60,F191+2,FALSE)*'Carrières et points'!$C$13*'Carrières et points'!$C$15))*(1+'F0 - Données générales'!$I$4)+((HLOOKUP(D191,'Carrières et points'!$A$20:$AD$60,F191+2,FALSE)*'Carrières et points'!$C$7*'Carrières et points'!$C$9)+(HLOOKUP(D191,'Carrières et points'!$A$20:$AD$60,F191+2,FALSE)*'Carrières et points'!$C$13*'Carrières et points'!$C$15))/12*(1+'F0 - Données générales'!$L$13))*E191)</f>
        <v/>
      </c>
      <c r="K191" s="118" t="str">
        <f t="shared" si="91"/>
        <v/>
      </c>
      <c r="L191" s="109"/>
      <c r="M191" s="177"/>
      <c r="N191" s="118" t="str">
        <f t="shared" si="92"/>
        <v/>
      </c>
      <c r="O191" s="177"/>
      <c r="P191" s="177"/>
      <c r="Q191" s="177"/>
      <c r="R191" s="255" t="str">
        <f t="shared" si="93"/>
        <v/>
      </c>
      <c r="S191" s="120"/>
      <c r="T191" s="742" t="s">
        <v>79</v>
      </c>
      <c r="U191" s="742"/>
      <c r="V191" s="26" t="s">
        <v>92</v>
      </c>
      <c r="W191" s="741" t="s">
        <v>93</v>
      </c>
      <c r="X191" s="741"/>
      <c r="Y191" s="181">
        <f>SUMIFS('F3 - Relevé du personnel'!$E$4:$E$281,'F3 - Relevé du personnel'!$D$4:$D$281,$V191,'F3 - Relevé du personnel'!$C$4:$C$281,'F0 - Données générales'!$K$31,'F3 - Relevé du personnel'!$B$4:$B$281,11)</f>
        <v>0</v>
      </c>
      <c r="Z191" s="181">
        <f>SUMIFS('F3 - Relevé du personnel'!$H$4:$H$281,'F3 - Relevé du personnel'!$D$4:$D$281,$V191,'F3 - Relevé du personnel'!$C$4:$C$281,'F0 - Données générales'!$K$31,'F3 - Relevé du personnel'!$B$4:$B$281,11)</f>
        <v>0</v>
      </c>
      <c r="AA191" s="256">
        <f>SUMIFS('F3 - Relevé du personnel'!$I$4:$I$281,'F3 - Relevé du personnel'!$D$4:$D$281,$V191,'F3 - Relevé du personnel'!$C$4:$C$281,'F0 - Données générales'!$K$31,'F3 - Relevé du personnel'!$B$4:$B$281,11)</f>
        <v>0</v>
      </c>
      <c r="AB191" s="256">
        <f>SUMIFS('F3 - Relevé du personnel'!$M$4:$M$281,'F3 - Relevé du personnel'!$D$4:$D$281,$V191,'F3 - Relevé du personnel'!$C$4:$C$281,'F0 - Données générales'!$K$31,'F3 - Relevé du personnel'!$B$4:$B$281,11)</f>
        <v>0</v>
      </c>
      <c r="AC191" s="196">
        <f t="shared" si="110"/>
        <v>0</v>
      </c>
      <c r="AD191" s="256">
        <f>SUMIFS('F3 - Relevé du personnel'!$O$4:$O$281,'F3 - Relevé du personnel'!$D$4:$D$281,$V191,'F3 - Relevé du personnel'!$C$4:$C$281,'F0 - Données générales'!$K$31,'F3 - Relevé du personnel'!$B$4:$B$281,11)</f>
        <v>0</v>
      </c>
      <c r="AE191" s="256">
        <f>SUMIFS('F3 - Relevé du personnel'!$P$4:$P$281,'F3 - Relevé du personnel'!$D$4:$D$281,$V191,'F3 - Relevé du personnel'!$C$4:$C$281,'F0 - Données générales'!$K$31,'F3 - Relevé du personnel'!$B$4:$B$281,11)</f>
        <v>0</v>
      </c>
      <c r="AF191" s="256">
        <f>SUMIFS('F3 - Relevé du personnel'!$Q$4:$Q$281,'F3 - Relevé du personnel'!$D$4:$D$281,$V191,'F3 - Relevé du personnel'!$C$4:$C$281,'F0 - Données générales'!$K$31,'F3 - Relevé du personnel'!$B$4:$B$281,11)</f>
        <v>0</v>
      </c>
      <c r="AG191" s="182">
        <f t="shared" si="111"/>
        <v>0</v>
      </c>
      <c r="AH191" s="197" t="str">
        <f>IF(Y191=0,"",(AG191)/Y191)</f>
        <v/>
      </c>
      <c r="AI191" s="198" t="str">
        <f>IF(Y191=0,"",(SUMPRODUCT(($D$4:$D$253=V191)*($C$4:$C$253='F0 - Données générales'!$K$31)*($E$4:$E$253)*($F$4:$F$253)*($B$4:$B$253=11))+SUMPRODUCT(($D$257:$D$281=V191)*($C$257:$C$281='F0 - Données générales'!$K$31)*($B$257:$B$281=11)*($E$257:$E$281)*($F$257:$F$281)))/(SUMIFS('F3 - Relevé du personnel'!$E$4:$E$281,'F3 - Relevé du personnel'!$D$4:$D$281,$V191,'F3 - Relevé du personnel'!$C$4:$C$281,'F0 - Données générales'!$K$31,'F3 - Relevé du personnel'!$B$4:$B$281,11)))</f>
        <v/>
      </c>
      <c r="AK191" s="752"/>
      <c r="AL191" s="752"/>
      <c r="AM191" s="194"/>
      <c r="AN191" s="753"/>
      <c r="AO191" s="753"/>
      <c r="AP191" s="195"/>
      <c r="AQ191" s="195"/>
      <c r="AR191" s="300"/>
      <c r="AS191" s="300"/>
      <c r="AT191" s="301"/>
      <c r="AU191" s="300"/>
      <c r="AV191" s="300"/>
      <c r="AW191" s="300"/>
      <c r="AX191" s="300"/>
      <c r="AY191" s="300"/>
      <c r="AZ191" s="302"/>
    </row>
    <row r="192" spans="1:74" ht="15" customHeight="1" x14ac:dyDescent="0.3">
      <c r="A192" s="106">
        <v>189</v>
      </c>
      <c r="B192" s="324">
        <f>'F0 - Données générales'!$C$4</f>
        <v>7</v>
      </c>
      <c r="C192" s="106" t="s">
        <v>95</v>
      </c>
      <c r="D192" s="106"/>
      <c r="E192" s="107"/>
      <c r="F192" s="108"/>
      <c r="G192" s="109"/>
      <c r="H192" s="110">
        <f t="shared" si="90"/>
        <v>0</v>
      </c>
      <c r="I192" s="177"/>
      <c r="J192" s="118" t="str">
        <f>IF(OR(D192="",F192=""),"",(((HLOOKUP(D192,'Carrières et points'!$A$20:$AD$60,F192+2,FALSE)*'Carrières et points'!$C$7*'Carrières et points'!$C$9)+(HLOOKUP(D192,'Carrières et points'!$A$20:$AD$60,F192+2,FALSE)*'Carrières et points'!$C$13*'Carrières et points'!$C$15))*(1+'F0 - Données générales'!$I$4)+((HLOOKUP(D192,'Carrières et points'!$A$20:$AD$60,F192+2,FALSE)*'Carrières et points'!$C$7*'Carrières et points'!$C$9)+(HLOOKUP(D192,'Carrières et points'!$A$20:$AD$60,F192+2,FALSE)*'Carrières et points'!$C$13*'Carrières et points'!$C$15))/12*(1+'F0 - Données générales'!$L$13))*E192)</f>
        <v/>
      </c>
      <c r="K192" s="118" t="str">
        <f t="shared" si="91"/>
        <v/>
      </c>
      <c r="L192" s="109"/>
      <c r="M192" s="177"/>
      <c r="N192" s="118" t="str">
        <f t="shared" si="92"/>
        <v/>
      </c>
      <c r="O192" s="177"/>
      <c r="P192" s="177"/>
      <c r="Q192" s="177"/>
      <c r="R192" s="255" t="str">
        <f t="shared" si="93"/>
        <v/>
      </c>
      <c r="S192" s="120"/>
      <c r="T192" s="743"/>
      <c r="U192" s="743"/>
      <c r="V192" s="749" t="s">
        <v>167</v>
      </c>
      <c r="W192" s="749"/>
      <c r="X192" s="749"/>
      <c r="Y192" s="199">
        <f>SUM(Y191:Y191)</f>
        <v>0</v>
      </c>
      <c r="Z192" s="199">
        <f>SUM(Z191:Z191)</f>
        <v>0</v>
      </c>
      <c r="AA192" s="200">
        <f>SUM(AA191:AA191)</f>
        <v>0</v>
      </c>
      <c r="AB192" s="200">
        <f>SUM(AB191:AB191)</f>
        <v>0</v>
      </c>
      <c r="AC192" s="200">
        <f t="shared" si="110"/>
        <v>0</v>
      </c>
      <c r="AD192" s="200">
        <f>SUM(AD191:AD191)</f>
        <v>0</v>
      </c>
      <c r="AE192" s="200">
        <f>SUM(AE191:AE191)</f>
        <v>0</v>
      </c>
      <c r="AF192" s="200">
        <f>SUM(AF191:AF191)</f>
        <v>0</v>
      </c>
      <c r="AG192" s="201">
        <f t="shared" si="111"/>
        <v>0</v>
      </c>
      <c r="AH192" s="201" t="str">
        <f t="shared" ref="AH192:AH204" si="113">IF(Y192=0,"",(AG192)/Y192)</f>
        <v/>
      </c>
      <c r="AI192" s="202"/>
      <c r="AK192" s="754"/>
      <c r="AL192" s="754"/>
      <c r="AM192" s="755"/>
      <c r="AN192" s="755"/>
      <c r="AO192" s="755"/>
      <c r="AP192" s="179"/>
      <c r="AQ192" s="179"/>
      <c r="AR192" s="170"/>
      <c r="AS192" s="170"/>
      <c r="AT192" s="170"/>
      <c r="AU192" s="170"/>
      <c r="AV192" s="170"/>
      <c r="AW192" s="170"/>
      <c r="AX192" s="172"/>
      <c r="AY192" s="172"/>
      <c r="AZ192" s="180"/>
      <c r="BS192" s="132"/>
      <c r="BT192" s="132"/>
    </row>
    <row r="193" spans="1:74" ht="15" customHeight="1" x14ac:dyDescent="0.3">
      <c r="A193" s="106">
        <v>190</v>
      </c>
      <c r="B193" s="324">
        <f>'F0 - Données générales'!$C$4</f>
        <v>7</v>
      </c>
      <c r="C193" s="106" t="s">
        <v>95</v>
      </c>
      <c r="D193" s="106"/>
      <c r="E193" s="107"/>
      <c r="F193" s="108"/>
      <c r="G193" s="109"/>
      <c r="H193" s="110">
        <f t="shared" si="90"/>
        <v>0</v>
      </c>
      <c r="I193" s="177"/>
      <c r="J193" s="118" t="str">
        <f>IF(OR(D193="",F193=""),"",(((HLOOKUP(D193,'Carrières et points'!$A$20:$AD$60,F193+2,FALSE)*'Carrières et points'!$C$7*'Carrières et points'!$C$9)+(HLOOKUP(D193,'Carrières et points'!$A$20:$AD$60,F193+2,FALSE)*'Carrières et points'!$C$13*'Carrières et points'!$C$15))*(1+'F0 - Données générales'!$I$4)+((HLOOKUP(D193,'Carrières et points'!$A$20:$AD$60,F193+2,FALSE)*'Carrières et points'!$C$7*'Carrières et points'!$C$9)+(HLOOKUP(D193,'Carrières et points'!$A$20:$AD$60,F193+2,FALSE)*'Carrières et points'!$C$13*'Carrières et points'!$C$15))/12*(1+'F0 - Données générales'!$L$13))*E193)</f>
        <v/>
      </c>
      <c r="K193" s="118" t="str">
        <f t="shared" si="91"/>
        <v/>
      </c>
      <c r="L193" s="109"/>
      <c r="M193" s="177"/>
      <c r="N193" s="118" t="str">
        <f t="shared" si="92"/>
        <v/>
      </c>
      <c r="O193" s="177"/>
      <c r="P193" s="177"/>
      <c r="Q193" s="177"/>
      <c r="R193" s="255" t="str">
        <f t="shared" si="93"/>
        <v/>
      </c>
      <c r="S193" s="120"/>
      <c r="T193" s="742" t="s">
        <v>79</v>
      </c>
      <c r="U193" s="742"/>
      <c r="V193" s="26" t="s">
        <v>96</v>
      </c>
      <c r="W193" s="741"/>
      <c r="X193" s="741"/>
      <c r="Y193" s="181">
        <f>SUMIFS('F3 - Relevé du personnel'!$E$4:$E$281,'F3 - Relevé du personnel'!$D$4:$D$281,$V193,'F3 - Relevé du personnel'!$C$4:$C$281,'F0 - Données générales'!$K$31,'F3 - Relevé du personnel'!$B$4:$B$281,11)</f>
        <v>0</v>
      </c>
      <c r="Z193" s="181">
        <f>SUMIFS('F3 - Relevé du personnel'!$H$4:$H$281,'F3 - Relevé du personnel'!$D$4:$D$281,$V193,'F3 - Relevé du personnel'!$C$4:$C$281,'F0 - Données générales'!$K$31,'F3 - Relevé du personnel'!$B$4:$B$281,11)</f>
        <v>0</v>
      </c>
      <c r="AA193" s="256">
        <f>SUMIFS('F3 - Relevé du personnel'!$I$4:$I$281,'F3 - Relevé du personnel'!$D$4:$D$281,$V193,'F3 - Relevé du personnel'!$C$4:$C$281,'F0 - Données générales'!$K$31,'F3 - Relevé du personnel'!$B$4:$B$281,11)</f>
        <v>0</v>
      </c>
      <c r="AB193" s="256">
        <f>SUMIFS('F3 - Relevé du personnel'!$M$4:$M$281,'F3 - Relevé du personnel'!$D$4:$D$281,$V193,'F3 - Relevé du personnel'!$C$4:$C$281,'F0 - Données générales'!$K$31,'F3 - Relevé du personnel'!$B$4:$B$281,11)</f>
        <v>0</v>
      </c>
      <c r="AC193" s="196">
        <f t="shared" si="110"/>
        <v>0</v>
      </c>
      <c r="AD193" s="256">
        <f>SUMIFS('F3 - Relevé du personnel'!$O$4:$O$281,'F3 - Relevé du personnel'!$D$4:$D$281,$V193,'F3 - Relevé du personnel'!$C$4:$C$281,'F0 - Données générales'!$K$31,'F3 - Relevé du personnel'!$B$4:$B$281,11)</f>
        <v>0</v>
      </c>
      <c r="AE193" s="256">
        <f>SUMIFS('F3 - Relevé du personnel'!$P$4:$P$281,'F3 - Relevé du personnel'!$D$4:$D$281,$V193,'F3 - Relevé du personnel'!$C$4:$C$281,'F0 - Données générales'!$K$31,'F3 - Relevé du personnel'!$B$4:$B$281,11)</f>
        <v>0</v>
      </c>
      <c r="AF193" s="256">
        <f>SUMIFS('F3 - Relevé du personnel'!$Q$4:$Q$281,'F3 - Relevé du personnel'!$D$4:$D$281,$V193,'F3 - Relevé du personnel'!$C$4:$C$281,'F0 - Données générales'!$K$31,'F3 - Relevé du personnel'!$B$4:$B$281,11)</f>
        <v>0</v>
      </c>
      <c r="AG193" s="182">
        <f t="shared" si="111"/>
        <v>0</v>
      </c>
      <c r="AH193" s="197" t="str">
        <f t="shared" si="113"/>
        <v/>
      </c>
      <c r="AI193" s="198" t="str">
        <f>IF(Y193=0,"",(SUMPRODUCT(($D$4:$D$253=V193)*($C$4:$C$253='F0 - Données générales'!$K$31)*($E$4:$E$253)*($F$4:$F$253)*($B$4:$B$253=11))+SUMPRODUCT(($D$257:$D$281=V193)*($C$257:$C$281='F0 - Données générales'!$K$31)*($B$257:$B$281=11)*($E$257:$E$281)*($F$257:$F$281)))/(SUMIFS('F3 - Relevé du personnel'!$E$4:$E$281,'F3 - Relevé du personnel'!$D$4:$D$281,$V193,'F3 - Relevé du personnel'!$C$4:$C$281,'F0 - Données générales'!$K$31,'F3 - Relevé du personnel'!$B$4:$B$281,11)))</f>
        <v/>
      </c>
      <c r="AK193" s="752"/>
      <c r="AL193" s="752"/>
      <c r="AM193" s="194"/>
      <c r="AN193" s="753"/>
      <c r="AO193" s="753"/>
      <c r="AP193" s="195"/>
      <c r="AQ193" s="195"/>
      <c r="AR193" s="300"/>
      <c r="AS193" s="300"/>
      <c r="AT193" s="301"/>
      <c r="AU193" s="300"/>
      <c r="AV193" s="300"/>
      <c r="AW193" s="300"/>
      <c r="AX193" s="300"/>
      <c r="AY193" s="300"/>
      <c r="AZ193" s="302"/>
      <c r="BS193" s="14"/>
      <c r="BT193" s="14"/>
    </row>
    <row r="194" spans="1:74" ht="15" customHeight="1" x14ac:dyDescent="0.3">
      <c r="A194" s="106">
        <v>191</v>
      </c>
      <c r="B194" s="324">
        <f>'F0 - Données générales'!$C$4</f>
        <v>7</v>
      </c>
      <c r="C194" s="106" t="s">
        <v>95</v>
      </c>
      <c r="D194" s="106"/>
      <c r="E194" s="107"/>
      <c r="F194" s="108"/>
      <c r="G194" s="109"/>
      <c r="H194" s="110">
        <f t="shared" si="90"/>
        <v>0</v>
      </c>
      <c r="I194" s="177"/>
      <c r="J194" s="118" t="str">
        <f>IF(OR(D194="",F194=""),"",(((HLOOKUP(D194,'Carrières et points'!$A$20:$AD$60,F194+2,FALSE)*'Carrières et points'!$C$7*'Carrières et points'!$C$9)+(HLOOKUP(D194,'Carrières et points'!$A$20:$AD$60,F194+2,FALSE)*'Carrières et points'!$C$13*'Carrières et points'!$C$15))*(1+'F0 - Données générales'!$I$4)+((HLOOKUP(D194,'Carrières et points'!$A$20:$AD$60,F194+2,FALSE)*'Carrières et points'!$C$7*'Carrières et points'!$C$9)+(HLOOKUP(D194,'Carrières et points'!$A$20:$AD$60,F194+2,FALSE)*'Carrières et points'!$C$13*'Carrières et points'!$C$15))/12*(1+'F0 - Données générales'!$L$13))*E194)</f>
        <v/>
      </c>
      <c r="K194" s="118" t="str">
        <f t="shared" si="91"/>
        <v/>
      </c>
      <c r="L194" s="109"/>
      <c r="M194" s="177"/>
      <c r="N194" s="118" t="str">
        <f t="shared" si="92"/>
        <v/>
      </c>
      <c r="O194" s="177"/>
      <c r="P194" s="177"/>
      <c r="Q194" s="177"/>
      <c r="R194" s="255" t="str">
        <f t="shared" si="93"/>
        <v/>
      </c>
      <c r="S194" s="120"/>
      <c r="T194" s="742" t="s">
        <v>79</v>
      </c>
      <c r="U194" s="742"/>
      <c r="V194" s="26" t="s">
        <v>277</v>
      </c>
      <c r="W194" s="741"/>
      <c r="X194" s="741"/>
      <c r="Y194" s="181">
        <f>SUMIFS('F3 - Relevé du personnel'!$E$4:$E$281,'F3 - Relevé du personnel'!$D$4:$D$281,$V194,'F3 - Relevé du personnel'!$C$4:$C$281,'F0 - Données générales'!$K$31,'F3 - Relevé du personnel'!$B$4:$B$281,11)</f>
        <v>0</v>
      </c>
      <c r="Z194" s="181">
        <f>SUMIFS('F3 - Relevé du personnel'!$H$4:$H$281,'F3 - Relevé du personnel'!$D$4:$D$281,$V194,'F3 - Relevé du personnel'!$C$4:$C$281,'F0 - Données générales'!$K$31,'F3 - Relevé du personnel'!$B$4:$B$281,11)</f>
        <v>0</v>
      </c>
      <c r="AA194" s="256">
        <f>SUMIFS('F3 - Relevé du personnel'!$I$4:$I$281,'F3 - Relevé du personnel'!$D$4:$D$281,$V194,'F3 - Relevé du personnel'!$C$4:$C$281,'F0 - Données générales'!$K$31,'F3 - Relevé du personnel'!$B$4:$B$281,11)</f>
        <v>0</v>
      </c>
      <c r="AB194" s="256">
        <f>SUMIFS('F3 - Relevé du personnel'!$M$4:$M$281,'F3 - Relevé du personnel'!$D$4:$D$281,$V194,'F3 - Relevé du personnel'!$C$4:$C$281,'F0 - Données générales'!$K$31,'F3 - Relevé du personnel'!$B$4:$B$281,11)</f>
        <v>0</v>
      </c>
      <c r="AC194" s="196">
        <f t="shared" si="110"/>
        <v>0</v>
      </c>
      <c r="AD194" s="256">
        <f>SUMIFS('F3 - Relevé du personnel'!$O$4:$O$281,'F3 - Relevé du personnel'!$D$4:$D$281,$V194,'F3 - Relevé du personnel'!$C$4:$C$281,'F0 - Données générales'!$K$31,'F3 - Relevé du personnel'!$B$4:$B$281,11)</f>
        <v>0</v>
      </c>
      <c r="AE194" s="256">
        <f>SUMIFS('F3 - Relevé du personnel'!$P$4:$P$281,'F3 - Relevé du personnel'!$D$4:$D$281,$V194,'F3 - Relevé du personnel'!$C$4:$C$281,'F0 - Données générales'!$K$31,'F3 - Relevé du personnel'!$B$4:$B$281,11)</f>
        <v>0</v>
      </c>
      <c r="AF194" s="256">
        <f>SUMIFS('F3 - Relevé du personnel'!$Q$4:$Q$281,'F3 - Relevé du personnel'!$D$4:$D$281,$V194,'F3 - Relevé du personnel'!$C$4:$C$281,'F0 - Données générales'!$K$31,'F3 - Relevé du personnel'!$B$4:$B$281,11)</f>
        <v>0</v>
      </c>
      <c r="AG194" s="182">
        <f t="shared" si="111"/>
        <v>0</v>
      </c>
      <c r="AH194" s="197" t="str">
        <f t="shared" si="113"/>
        <v/>
      </c>
      <c r="AI194" s="198" t="str">
        <f>IF(Y194=0,"",(SUMPRODUCT(($D$4:$D$253=V194)*($C$4:$C$253='F0 - Données générales'!$K$31)*($E$4:$E$253)*($F$4:$F$253)*($B$4:$B$253=11))+SUMPRODUCT(($D$257:$D$281=V194)*($C$257:$C$281='F0 - Données générales'!$K$31)*($B$257:$B$281=11)*($E$257:$E$281)*($F$257:$F$281)))/(SUMIFS('F3 - Relevé du personnel'!$E$4:$E$281,'F3 - Relevé du personnel'!$D$4:$D$281,$V194,'F3 - Relevé du personnel'!$C$4:$C$281,'F0 - Données générales'!$K$31,'F3 - Relevé du personnel'!$B$4:$B$281,11)))</f>
        <v/>
      </c>
      <c r="AK194" s="752"/>
      <c r="AL194" s="752"/>
      <c r="AM194" s="194"/>
      <c r="AN194" s="753"/>
      <c r="AO194" s="753"/>
      <c r="AP194" s="195"/>
      <c r="AQ194" s="195"/>
      <c r="AR194" s="300"/>
      <c r="AS194" s="300"/>
      <c r="AT194" s="301"/>
      <c r="AU194" s="300"/>
      <c r="AV194" s="300"/>
      <c r="AW194" s="300"/>
      <c r="AX194" s="300"/>
      <c r="AY194" s="300"/>
      <c r="AZ194" s="302"/>
    </row>
    <row r="195" spans="1:74" ht="15" customHeight="1" x14ac:dyDescent="0.3">
      <c r="A195" s="106">
        <v>192</v>
      </c>
      <c r="B195" s="324">
        <f>'F0 - Données générales'!$C$4</f>
        <v>7</v>
      </c>
      <c r="C195" s="106" t="s">
        <v>95</v>
      </c>
      <c r="D195" s="106"/>
      <c r="E195" s="107"/>
      <c r="F195" s="108"/>
      <c r="G195" s="109"/>
      <c r="H195" s="110">
        <f t="shared" si="90"/>
        <v>0</v>
      </c>
      <c r="I195" s="177"/>
      <c r="J195" s="118" t="str">
        <f>IF(OR(D195="",F195=""),"",(((HLOOKUP(D195,'Carrières et points'!$A$20:$AD$60,F195+2,FALSE)*'Carrières et points'!$C$7*'Carrières et points'!$C$9)+(HLOOKUP(D195,'Carrières et points'!$A$20:$AD$60,F195+2,FALSE)*'Carrières et points'!$C$13*'Carrières et points'!$C$15))*(1+'F0 - Données générales'!$I$4)+((HLOOKUP(D195,'Carrières et points'!$A$20:$AD$60,F195+2,FALSE)*'Carrières et points'!$C$7*'Carrières et points'!$C$9)+(HLOOKUP(D195,'Carrières et points'!$A$20:$AD$60,F195+2,FALSE)*'Carrières et points'!$C$13*'Carrières et points'!$C$15))/12*(1+'F0 - Données générales'!$L$13))*E195)</f>
        <v/>
      </c>
      <c r="K195" s="118" t="str">
        <f t="shared" si="91"/>
        <v/>
      </c>
      <c r="L195" s="109"/>
      <c r="M195" s="177"/>
      <c r="N195" s="118" t="str">
        <f t="shared" si="92"/>
        <v/>
      </c>
      <c r="O195" s="177"/>
      <c r="P195" s="177"/>
      <c r="Q195" s="177"/>
      <c r="R195" s="255" t="str">
        <f t="shared" si="93"/>
        <v/>
      </c>
      <c r="S195" s="120"/>
      <c r="T195" s="742" t="s">
        <v>65</v>
      </c>
      <c r="U195" s="742"/>
      <c r="V195" s="26" t="s">
        <v>278</v>
      </c>
      <c r="W195" s="741"/>
      <c r="X195" s="741"/>
      <c r="Y195" s="181">
        <f>SUMIFS('F3 - Relevé du personnel'!$E$4:$E$281,'F3 - Relevé du personnel'!$D$4:$D$281,$V195,'F3 - Relevé du personnel'!$C$4:$C$281,'F0 - Données générales'!$K$31,'F3 - Relevé du personnel'!$B$4:$B$281,11)</f>
        <v>0</v>
      </c>
      <c r="Z195" s="181">
        <f>SUMIFS('F3 - Relevé du personnel'!$H$4:$H$281,'F3 - Relevé du personnel'!$D$4:$D$281,$V195,'F3 - Relevé du personnel'!$C$4:$C$281,'F0 - Données générales'!$K$31,'F3 - Relevé du personnel'!$B$4:$B$281,11)</f>
        <v>0</v>
      </c>
      <c r="AA195" s="256">
        <f>SUMIFS('F3 - Relevé du personnel'!$I$4:$I$281,'F3 - Relevé du personnel'!$D$4:$D$281,$V195,'F3 - Relevé du personnel'!$C$4:$C$281,'F0 - Données générales'!$K$31,'F3 - Relevé du personnel'!$B$4:$B$281,11)</f>
        <v>0</v>
      </c>
      <c r="AB195" s="256">
        <f>SUMIFS('F3 - Relevé du personnel'!$M$4:$M$281,'F3 - Relevé du personnel'!$D$4:$D$281,$V195,'F3 - Relevé du personnel'!$C$4:$C$281,'F0 - Données générales'!$K$31,'F3 - Relevé du personnel'!$B$4:$B$281,11)</f>
        <v>0</v>
      </c>
      <c r="AC195" s="196">
        <f t="shared" si="110"/>
        <v>0</v>
      </c>
      <c r="AD195" s="256">
        <f>SUMIFS('F3 - Relevé du personnel'!$O$4:$O$281,'F3 - Relevé du personnel'!$D$4:$D$281,$V195,'F3 - Relevé du personnel'!$C$4:$C$281,'F0 - Données générales'!$K$31,'F3 - Relevé du personnel'!$B$4:$B$281,11)</f>
        <v>0</v>
      </c>
      <c r="AE195" s="256">
        <f>SUMIFS('F3 - Relevé du personnel'!$P$4:$P$281,'F3 - Relevé du personnel'!$D$4:$D$281,$V195,'F3 - Relevé du personnel'!$C$4:$C$281,'F0 - Données générales'!$K$31,'F3 - Relevé du personnel'!$B$4:$B$281,11)</f>
        <v>0</v>
      </c>
      <c r="AF195" s="256">
        <f>SUMIFS('F3 - Relevé du personnel'!$Q$4:$Q$281,'F3 - Relevé du personnel'!$D$4:$D$281,$V195,'F3 - Relevé du personnel'!$C$4:$C$281,'F0 - Données générales'!$K$31,'F3 - Relevé du personnel'!$B$4:$B$281,11)</f>
        <v>0</v>
      </c>
      <c r="AG195" s="182">
        <f t="shared" si="111"/>
        <v>0</v>
      </c>
      <c r="AH195" s="197" t="str">
        <f t="shared" si="113"/>
        <v/>
      </c>
      <c r="AI195" s="198" t="str">
        <f>IF(Y195=0,"",(SUMPRODUCT(($D$4:$D$253=V195)*($C$4:$C$253='F0 - Données générales'!$K$31)*($E$4:$E$253)*($F$4:$F$253)*($B$4:$B$253=11))+SUMPRODUCT(($D$257:$D$281=V195)*($C$257:$C$281='F0 - Données générales'!$K$31)*($B$257:$B$281=11)*($E$257:$E$281)*($F$257:$F$281)))/(SUMIFS('F3 - Relevé du personnel'!$E$4:$E$281,'F3 - Relevé du personnel'!$D$4:$D$281,$V195,'F3 - Relevé du personnel'!$C$4:$C$281,'F0 - Données générales'!$K$31,'F3 - Relevé du personnel'!$B$4:$B$281,11)))</f>
        <v/>
      </c>
      <c r="AK195" s="752"/>
      <c r="AL195" s="752"/>
      <c r="AM195" s="194"/>
      <c r="AN195" s="753"/>
      <c r="AO195" s="753"/>
      <c r="AP195" s="195"/>
      <c r="AQ195" s="195"/>
      <c r="AR195" s="300"/>
      <c r="AS195" s="300"/>
      <c r="AT195" s="301"/>
      <c r="AU195" s="300"/>
      <c r="AV195" s="300"/>
      <c r="AW195" s="300"/>
      <c r="AX195" s="300"/>
      <c r="AY195" s="300"/>
      <c r="AZ195" s="302"/>
      <c r="BS195" s="14"/>
      <c r="BT195" s="14"/>
    </row>
    <row r="196" spans="1:74" ht="15" customHeight="1" x14ac:dyDescent="0.3">
      <c r="A196" s="106">
        <v>193</v>
      </c>
      <c r="B196" s="324">
        <f>'F0 - Données générales'!$C$4</f>
        <v>7</v>
      </c>
      <c r="C196" s="106" t="s">
        <v>95</v>
      </c>
      <c r="D196" s="106"/>
      <c r="E196" s="107"/>
      <c r="F196" s="108"/>
      <c r="G196" s="109"/>
      <c r="H196" s="110">
        <f t="shared" si="90"/>
        <v>0</v>
      </c>
      <c r="I196" s="177"/>
      <c r="J196" s="118" t="str">
        <f>IF(OR(D196="",F196=""),"",(((HLOOKUP(D196,'Carrières et points'!$A$20:$AD$60,F196+2,FALSE)*'Carrières et points'!$C$7*'Carrières et points'!$C$9)+(HLOOKUP(D196,'Carrières et points'!$A$20:$AD$60,F196+2,FALSE)*'Carrières et points'!$C$13*'Carrières et points'!$C$15))*(1+'F0 - Données générales'!$I$4)+((HLOOKUP(D196,'Carrières et points'!$A$20:$AD$60,F196+2,FALSE)*'Carrières et points'!$C$7*'Carrières et points'!$C$9)+(HLOOKUP(D196,'Carrières et points'!$A$20:$AD$60,F196+2,FALSE)*'Carrières et points'!$C$13*'Carrières et points'!$C$15))/12*(1+'F0 - Données générales'!$L$13))*E196)</f>
        <v/>
      </c>
      <c r="K196" s="118" t="str">
        <f t="shared" si="91"/>
        <v/>
      </c>
      <c r="L196" s="109"/>
      <c r="M196" s="177"/>
      <c r="N196" s="118" t="str">
        <f t="shared" si="92"/>
        <v/>
      </c>
      <c r="O196" s="177"/>
      <c r="P196" s="177"/>
      <c r="Q196" s="177"/>
      <c r="R196" s="255" t="str">
        <f t="shared" si="93"/>
        <v/>
      </c>
      <c r="S196" s="120"/>
      <c r="T196" s="742" t="s">
        <v>79</v>
      </c>
      <c r="U196" s="742"/>
      <c r="V196" s="26" t="s">
        <v>279</v>
      </c>
      <c r="W196" s="741"/>
      <c r="X196" s="741"/>
      <c r="Y196" s="181">
        <f>SUMIFS('F3 - Relevé du personnel'!$E$4:$E$281,'F3 - Relevé du personnel'!$D$4:$D$281,$V196,'F3 - Relevé du personnel'!$C$4:$C$281,'F0 - Données générales'!$K$31,'F3 - Relevé du personnel'!$B$4:$B$281,11)</f>
        <v>0</v>
      </c>
      <c r="Z196" s="181">
        <f>SUMIFS('F3 - Relevé du personnel'!$H$4:$H$281,'F3 - Relevé du personnel'!$D$4:$D$281,$V196,'F3 - Relevé du personnel'!$C$4:$C$281,'F0 - Données générales'!$K$31,'F3 - Relevé du personnel'!$B$4:$B$281,11)</f>
        <v>0</v>
      </c>
      <c r="AA196" s="256">
        <f>SUMIFS('F3 - Relevé du personnel'!$I$4:$I$281,'F3 - Relevé du personnel'!$D$4:$D$281,$V196,'F3 - Relevé du personnel'!$C$4:$C$281,'F0 - Données générales'!$K$31,'F3 - Relevé du personnel'!$B$4:$B$281,11)</f>
        <v>0</v>
      </c>
      <c r="AB196" s="256">
        <f>SUMIFS('F3 - Relevé du personnel'!$M$4:$M$281,'F3 - Relevé du personnel'!$D$4:$D$281,$V196,'F3 - Relevé du personnel'!$C$4:$C$281,'F0 - Données générales'!$K$31,'F3 - Relevé du personnel'!$B$4:$B$281,11)</f>
        <v>0</v>
      </c>
      <c r="AC196" s="196">
        <f t="shared" si="110"/>
        <v>0</v>
      </c>
      <c r="AD196" s="256">
        <f>SUMIFS('F3 - Relevé du personnel'!$O$4:$O$281,'F3 - Relevé du personnel'!$D$4:$D$281,$V196,'F3 - Relevé du personnel'!$C$4:$C$281,'F0 - Données générales'!$K$31,'F3 - Relevé du personnel'!$B$4:$B$281,11)</f>
        <v>0</v>
      </c>
      <c r="AE196" s="256">
        <f>SUMIFS('F3 - Relevé du personnel'!$P$4:$P$281,'F3 - Relevé du personnel'!$D$4:$D$281,$V196,'F3 - Relevé du personnel'!$C$4:$C$281,'F0 - Données générales'!$K$31,'F3 - Relevé du personnel'!$B$4:$B$281,11)</f>
        <v>0</v>
      </c>
      <c r="AF196" s="256">
        <f>SUMIFS('F3 - Relevé du personnel'!$Q$4:$Q$281,'F3 - Relevé du personnel'!$D$4:$D$281,$V196,'F3 - Relevé du personnel'!$C$4:$C$281,'F0 - Données générales'!$K$31,'F3 - Relevé du personnel'!$B$4:$B$281,11)</f>
        <v>0</v>
      </c>
      <c r="AG196" s="182">
        <f t="shared" si="111"/>
        <v>0</v>
      </c>
      <c r="AH196" s="197" t="str">
        <f t="shared" si="113"/>
        <v/>
      </c>
      <c r="AI196" s="198" t="str">
        <f>IF(Y196=0,"",(SUMPRODUCT(($D$4:$D$253=V196)*($C$4:$C$253='F0 - Données générales'!$K$31)*($E$4:$E$253)*($F$4:$F$253)*($B$4:$B$253=11))+SUMPRODUCT(($D$257:$D$281=V196)*($C$257:$C$281='F0 - Données générales'!$K$31)*($B$257:$B$281=11)*($E$257:$E$281)*($F$257:$F$281)))/(SUMIFS('F3 - Relevé du personnel'!$E$4:$E$281,'F3 - Relevé du personnel'!$D$4:$D$281,$V196,'F3 - Relevé du personnel'!$C$4:$C$281,'F0 - Données générales'!$K$31,'F3 - Relevé du personnel'!$B$4:$B$281,11)))</f>
        <v/>
      </c>
      <c r="AK196" s="752"/>
      <c r="AL196" s="752"/>
      <c r="AM196" s="194"/>
      <c r="AN196" s="753"/>
      <c r="AO196" s="753"/>
      <c r="AP196" s="195"/>
      <c r="AQ196" s="195"/>
      <c r="AR196" s="300"/>
      <c r="AS196" s="300"/>
      <c r="AT196" s="301"/>
      <c r="AU196" s="300"/>
      <c r="AV196" s="300"/>
      <c r="AW196" s="300"/>
      <c r="AX196" s="300"/>
      <c r="AY196" s="300"/>
      <c r="AZ196" s="302"/>
      <c r="BS196" s="14"/>
      <c r="BT196" s="14"/>
    </row>
    <row r="197" spans="1:74" ht="15" customHeight="1" x14ac:dyDescent="0.3">
      <c r="A197" s="106">
        <v>194</v>
      </c>
      <c r="B197" s="324">
        <f>'F0 - Données générales'!$C$4</f>
        <v>7</v>
      </c>
      <c r="C197" s="106" t="s">
        <v>95</v>
      </c>
      <c r="D197" s="106"/>
      <c r="E197" s="107"/>
      <c r="F197" s="108"/>
      <c r="G197" s="109"/>
      <c r="H197" s="110">
        <f t="shared" ref="H197:H253" si="114">E197-G197/2076</f>
        <v>0</v>
      </c>
      <c r="I197" s="177"/>
      <c r="J197" s="118" t="str">
        <f>IF(OR(D197="",F197=""),"",(((HLOOKUP(D197,'Carrières et points'!$A$20:$AD$60,F197+2,FALSE)*'Carrières et points'!$C$7*'Carrières et points'!$C$9)+(HLOOKUP(D197,'Carrières et points'!$A$20:$AD$60,F197+2,FALSE)*'Carrières et points'!$C$13*'Carrières et points'!$C$15))*(1+'F0 - Données générales'!$I$4)+((HLOOKUP(D197,'Carrières et points'!$A$20:$AD$60,F197+2,FALSE)*'Carrières et points'!$C$7*'Carrières et points'!$C$9)+(HLOOKUP(D197,'Carrières et points'!$A$20:$AD$60,F197+2,FALSE)*'Carrières et points'!$C$13*'Carrières et points'!$C$15))/12*(1+'F0 - Données générales'!$L$13))*E197)</f>
        <v/>
      </c>
      <c r="K197" s="118" t="str">
        <f t="shared" ref="K197:K253" si="115">IF(OR(I197="",J197=""),"",IF(OR(J197&gt;1.05*I197,J197&lt;0.95*I197),"à justifier","ok"))</f>
        <v/>
      </c>
      <c r="L197" s="109"/>
      <c r="M197" s="177"/>
      <c r="N197" s="118" t="str">
        <f t="shared" ref="N197:N253" si="116">IF(I197="","",I197+M197)</f>
        <v/>
      </c>
      <c r="O197" s="177"/>
      <c r="P197" s="177"/>
      <c r="Q197" s="177"/>
      <c r="R197" s="255" t="str">
        <f t="shared" ref="R197:R253" si="117">IF(N197="","",N197-SUM(O197:Q197))</f>
        <v/>
      </c>
      <c r="S197" s="120"/>
      <c r="T197" s="742" t="s">
        <v>65</v>
      </c>
      <c r="U197" s="742"/>
      <c r="V197" s="26" t="s">
        <v>280</v>
      </c>
      <c r="W197" s="741"/>
      <c r="X197" s="741"/>
      <c r="Y197" s="181">
        <f>SUMIFS('F3 - Relevé du personnel'!$E$4:$E$281,'F3 - Relevé du personnel'!$D$4:$D$281,$V197,'F3 - Relevé du personnel'!$C$4:$C$281,'F0 - Données générales'!$K$31,'F3 - Relevé du personnel'!$B$4:$B$281,11)</f>
        <v>0</v>
      </c>
      <c r="Z197" s="181">
        <f>SUMIFS('F3 - Relevé du personnel'!$H$4:$H$281,'F3 - Relevé du personnel'!$D$4:$D$281,$V197,'F3 - Relevé du personnel'!$C$4:$C$281,'F0 - Données générales'!$K$31,'F3 - Relevé du personnel'!$B$4:$B$281,11)</f>
        <v>0</v>
      </c>
      <c r="AA197" s="256">
        <f>SUMIFS('F3 - Relevé du personnel'!$I$4:$I$281,'F3 - Relevé du personnel'!$D$4:$D$281,$V197,'F3 - Relevé du personnel'!$C$4:$C$281,'F0 - Données générales'!$K$31,'F3 - Relevé du personnel'!$B$4:$B$281,11)</f>
        <v>0</v>
      </c>
      <c r="AB197" s="256">
        <f>SUMIFS('F3 - Relevé du personnel'!$M$4:$M$281,'F3 - Relevé du personnel'!$D$4:$D$281,$V197,'F3 - Relevé du personnel'!$C$4:$C$281,'F0 - Données générales'!$K$31,'F3 - Relevé du personnel'!$B$4:$B$281,11)</f>
        <v>0</v>
      </c>
      <c r="AC197" s="196">
        <f t="shared" si="110"/>
        <v>0</v>
      </c>
      <c r="AD197" s="256">
        <f>SUMIFS('F3 - Relevé du personnel'!$O$4:$O$281,'F3 - Relevé du personnel'!$D$4:$D$281,$V197,'F3 - Relevé du personnel'!$C$4:$C$281,'F0 - Données générales'!$K$31,'F3 - Relevé du personnel'!$B$4:$B$281,11)</f>
        <v>0</v>
      </c>
      <c r="AE197" s="256">
        <f>SUMIFS('F3 - Relevé du personnel'!$P$4:$P$281,'F3 - Relevé du personnel'!$D$4:$D$281,$V197,'F3 - Relevé du personnel'!$C$4:$C$281,'F0 - Données générales'!$K$31,'F3 - Relevé du personnel'!$B$4:$B$281,11)</f>
        <v>0</v>
      </c>
      <c r="AF197" s="256">
        <f>SUMIFS('F3 - Relevé du personnel'!$Q$4:$Q$281,'F3 - Relevé du personnel'!$D$4:$D$281,$V197,'F3 - Relevé du personnel'!$C$4:$C$281,'F0 - Données générales'!$K$31,'F3 - Relevé du personnel'!$B$4:$B$281,11)</f>
        <v>0</v>
      </c>
      <c r="AG197" s="182">
        <f t="shared" si="111"/>
        <v>0</v>
      </c>
      <c r="AH197" s="197" t="str">
        <f t="shared" si="113"/>
        <v/>
      </c>
      <c r="AI197" s="198" t="str">
        <f>IF(Y197=0,"",(SUMPRODUCT(($D$4:$D$253=V197)*($C$4:$C$253='F0 - Données générales'!$K$31)*($E$4:$E$253)*($F$4:$F$253)*($B$4:$B$253=11))+SUMPRODUCT(($D$257:$D$281=V197)*($C$257:$C$281='F0 - Données générales'!$K$31)*($B$257:$B$281=11)*($E$257:$E$281)*($F$257:$F$281)))/(SUMIFS('F3 - Relevé du personnel'!$E$4:$E$281,'F3 - Relevé du personnel'!$D$4:$D$281,$V197,'F3 - Relevé du personnel'!$C$4:$C$281,'F0 - Données générales'!$K$31,'F3 - Relevé du personnel'!$B$4:$B$281,11)))</f>
        <v/>
      </c>
      <c r="AK197" s="752"/>
      <c r="AL197" s="752"/>
      <c r="AM197" s="194"/>
      <c r="AN197" s="753"/>
      <c r="AO197" s="753"/>
      <c r="AP197" s="195"/>
      <c r="AQ197" s="195"/>
      <c r="AR197" s="300"/>
      <c r="AS197" s="300"/>
      <c r="AT197" s="301"/>
      <c r="AU197" s="300"/>
      <c r="AV197" s="300"/>
      <c r="AW197" s="300"/>
      <c r="AX197" s="300"/>
      <c r="AY197" s="300"/>
      <c r="AZ197" s="302"/>
      <c r="BS197" s="14"/>
      <c r="BT197" s="14"/>
      <c r="BU197" s="14"/>
      <c r="BV197" s="14"/>
    </row>
    <row r="198" spans="1:74" ht="15" customHeight="1" x14ac:dyDescent="0.3">
      <c r="A198" s="106">
        <v>195</v>
      </c>
      <c r="B198" s="324">
        <f>'F0 - Données générales'!$C$4</f>
        <v>7</v>
      </c>
      <c r="C198" s="106" t="s">
        <v>95</v>
      </c>
      <c r="D198" s="106"/>
      <c r="E198" s="107"/>
      <c r="F198" s="108"/>
      <c r="G198" s="109"/>
      <c r="H198" s="110">
        <f t="shared" si="114"/>
        <v>0</v>
      </c>
      <c r="I198" s="177"/>
      <c r="J198" s="118" t="str">
        <f>IF(OR(D198="",F198=""),"",(((HLOOKUP(D198,'Carrières et points'!$A$20:$AD$60,F198+2,FALSE)*'Carrières et points'!$C$7*'Carrières et points'!$C$9)+(HLOOKUP(D198,'Carrières et points'!$A$20:$AD$60,F198+2,FALSE)*'Carrières et points'!$C$13*'Carrières et points'!$C$15))*(1+'F0 - Données générales'!$I$4)+((HLOOKUP(D198,'Carrières et points'!$A$20:$AD$60,F198+2,FALSE)*'Carrières et points'!$C$7*'Carrières et points'!$C$9)+(HLOOKUP(D198,'Carrières et points'!$A$20:$AD$60,F198+2,FALSE)*'Carrières et points'!$C$13*'Carrières et points'!$C$15))/12*(1+'F0 - Données générales'!$L$13))*E198)</f>
        <v/>
      </c>
      <c r="K198" s="118" t="str">
        <f t="shared" si="115"/>
        <v/>
      </c>
      <c r="L198" s="109"/>
      <c r="M198" s="177"/>
      <c r="N198" s="118" t="str">
        <f t="shared" si="116"/>
        <v/>
      </c>
      <c r="O198" s="177"/>
      <c r="P198" s="177"/>
      <c r="Q198" s="177"/>
      <c r="R198" s="255" t="str">
        <f t="shared" si="117"/>
        <v/>
      </c>
      <c r="S198" s="120"/>
      <c r="T198" s="742" t="s">
        <v>64</v>
      </c>
      <c r="U198" s="742"/>
      <c r="V198" s="26" t="s">
        <v>97</v>
      </c>
      <c r="W198" s="741"/>
      <c r="X198" s="741"/>
      <c r="Y198" s="181">
        <f>SUMIFS('F3 - Relevé du personnel'!$E$4:$E$281,'F3 - Relevé du personnel'!$D$4:$D$281,$V198,'F3 - Relevé du personnel'!$C$4:$C$281,'F0 - Données générales'!$K$31,'F3 - Relevé du personnel'!$B$4:$B$281,11)</f>
        <v>0</v>
      </c>
      <c r="Z198" s="181">
        <f>SUMIFS('F3 - Relevé du personnel'!$H$4:$H$281,'F3 - Relevé du personnel'!$D$4:$D$281,$V198,'F3 - Relevé du personnel'!$C$4:$C$281,'F0 - Données générales'!$K$31,'F3 - Relevé du personnel'!$B$4:$B$281,11)</f>
        <v>0</v>
      </c>
      <c r="AA198" s="256">
        <f>SUMIFS('F3 - Relevé du personnel'!$I$4:$I$281,'F3 - Relevé du personnel'!$D$4:$D$281,$V198,'F3 - Relevé du personnel'!$C$4:$C$281,'F0 - Données générales'!$K$31,'F3 - Relevé du personnel'!$B$4:$B$281,11)</f>
        <v>0</v>
      </c>
      <c r="AB198" s="256">
        <f>SUMIFS('F3 - Relevé du personnel'!$M$4:$M$281,'F3 - Relevé du personnel'!$D$4:$D$281,$V198,'F3 - Relevé du personnel'!$C$4:$C$281,'F0 - Données générales'!$K$31,'F3 - Relevé du personnel'!$B$4:$B$281,11)</f>
        <v>0</v>
      </c>
      <c r="AC198" s="196">
        <f t="shared" si="110"/>
        <v>0</v>
      </c>
      <c r="AD198" s="256">
        <f>SUMIFS('F3 - Relevé du personnel'!$O$4:$O$281,'F3 - Relevé du personnel'!$D$4:$D$281,$V198,'F3 - Relevé du personnel'!$C$4:$C$281,'F0 - Données générales'!$K$31,'F3 - Relevé du personnel'!$B$4:$B$281,11)</f>
        <v>0</v>
      </c>
      <c r="AE198" s="256">
        <f>SUMIFS('F3 - Relevé du personnel'!$P$4:$P$281,'F3 - Relevé du personnel'!$D$4:$D$281,$V198,'F3 - Relevé du personnel'!$C$4:$C$281,'F0 - Données générales'!$K$31,'F3 - Relevé du personnel'!$B$4:$B$281,11)</f>
        <v>0</v>
      </c>
      <c r="AF198" s="256">
        <f>SUMIFS('F3 - Relevé du personnel'!$Q$4:$Q$281,'F3 - Relevé du personnel'!$D$4:$D$281,$V198,'F3 - Relevé du personnel'!$C$4:$C$281,'F0 - Données générales'!$K$31,'F3 - Relevé du personnel'!$B$4:$B$281,11)</f>
        <v>0</v>
      </c>
      <c r="AG198" s="182">
        <f t="shared" si="111"/>
        <v>0</v>
      </c>
      <c r="AH198" s="197" t="str">
        <f t="shared" si="113"/>
        <v/>
      </c>
      <c r="AI198" s="198" t="str">
        <f>IF(Y198=0,"",(SUMPRODUCT(($D$4:$D$253=V198)*($C$4:$C$253='F0 - Données générales'!$K$31)*($E$4:$E$253)*($F$4:$F$253)*($B$4:$B$253=11))+SUMPRODUCT(($D$257:$D$281=V198)*($C$257:$C$281='F0 - Données générales'!$K$31)*($B$257:$B$281=11)*($E$257:$E$281)*($F$257:$F$281)))/(SUMIFS('F3 - Relevé du personnel'!$E$4:$E$281,'F3 - Relevé du personnel'!$D$4:$D$281,$V198,'F3 - Relevé du personnel'!$C$4:$C$281,'F0 - Données générales'!$K$31,'F3 - Relevé du personnel'!$B$4:$B$281,11)))</f>
        <v/>
      </c>
      <c r="AK198" s="752"/>
      <c r="AL198" s="752"/>
      <c r="AM198" s="194"/>
      <c r="AN198" s="753"/>
      <c r="AO198" s="753"/>
      <c r="AP198" s="195"/>
      <c r="AQ198" s="195"/>
      <c r="AR198" s="300"/>
      <c r="AS198" s="300"/>
      <c r="AT198" s="301"/>
      <c r="AU198" s="300"/>
      <c r="AV198" s="300"/>
      <c r="AW198" s="300"/>
      <c r="AX198" s="300"/>
      <c r="AY198" s="300"/>
      <c r="AZ198" s="302"/>
      <c r="BS198" s="14"/>
      <c r="BT198" s="14"/>
      <c r="BU198" s="14"/>
      <c r="BV198" s="132"/>
    </row>
    <row r="199" spans="1:74" ht="15" customHeight="1" x14ac:dyDescent="0.3">
      <c r="A199" s="106">
        <v>196</v>
      </c>
      <c r="B199" s="324">
        <f>'F0 - Données générales'!$C$4</f>
        <v>7</v>
      </c>
      <c r="C199" s="106" t="s">
        <v>95</v>
      </c>
      <c r="D199" s="106"/>
      <c r="E199" s="107"/>
      <c r="F199" s="108"/>
      <c r="G199" s="109"/>
      <c r="H199" s="110">
        <f t="shared" si="114"/>
        <v>0</v>
      </c>
      <c r="I199" s="177"/>
      <c r="J199" s="118" t="str">
        <f>IF(OR(D199="",F199=""),"",(((HLOOKUP(D199,'Carrières et points'!$A$20:$AD$60,F199+2,FALSE)*'Carrières et points'!$C$7*'Carrières et points'!$C$9)+(HLOOKUP(D199,'Carrières et points'!$A$20:$AD$60,F199+2,FALSE)*'Carrières et points'!$C$13*'Carrières et points'!$C$15))*(1+'F0 - Données générales'!$I$4)+((HLOOKUP(D199,'Carrières et points'!$A$20:$AD$60,F199+2,FALSE)*'Carrières et points'!$C$7*'Carrières et points'!$C$9)+(HLOOKUP(D199,'Carrières et points'!$A$20:$AD$60,F199+2,FALSE)*'Carrières et points'!$C$13*'Carrières et points'!$C$15))/12*(1+'F0 - Données générales'!$L$13))*E199)</f>
        <v/>
      </c>
      <c r="K199" s="118" t="str">
        <f t="shared" si="115"/>
        <v/>
      </c>
      <c r="L199" s="109"/>
      <c r="M199" s="177"/>
      <c r="N199" s="118" t="str">
        <f t="shared" si="116"/>
        <v/>
      </c>
      <c r="O199" s="177"/>
      <c r="P199" s="177"/>
      <c r="Q199" s="177"/>
      <c r="R199" s="255" t="str">
        <f t="shared" si="117"/>
        <v/>
      </c>
      <c r="S199" s="120"/>
      <c r="T199" s="742" t="s">
        <v>61</v>
      </c>
      <c r="U199" s="742"/>
      <c r="V199" s="26" t="s">
        <v>98</v>
      </c>
      <c r="W199" s="741"/>
      <c r="X199" s="741"/>
      <c r="Y199" s="181">
        <f>SUMIFS('F3 - Relevé du personnel'!$E$4:$E$281,'F3 - Relevé du personnel'!$D$4:$D$281,$V199,'F3 - Relevé du personnel'!$C$4:$C$281,'F0 - Données générales'!$K$31,'F3 - Relevé du personnel'!$B$4:$B$281,11)</f>
        <v>0</v>
      </c>
      <c r="Z199" s="181">
        <f>SUMIFS('F3 - Relevé du personnel'!$H$4:$H$281,'F3 - Relevé du personnel'!$D$4:$D$281,$V199,'F3 - Relevé du personnel'!$C$4:$C$281,'F0 - Données générales'!$K$31,'F3 - Relevé du personnel'!$B$4:$B$281,11)</f>
        <v>0</v>
      </c>
      <c r="AA199" s="256">
        <f>SUMIFS('F3 - Relevé du personnel'!$I$4:$I$281,'F3 - Relevé du personnel'!$D$4:$D$281,$V199,'F3 - Relevé du personnel'!$C$4:$C$281,'F0 - Données générales'!$K$31,'F3 - Relevé du personnel'!$B$4:$B$281,11)</f>
        <v>0</v>
      </c>
      <c r="AB199" s="256">
        <f>SUMIFS('F3 - Relevé du personnel'!$M$4:$M$281,'F3 - Relevé du personnel'!$D$4:$D$281,$V199,'F3 - Relevé du personnel'!$C$4:$C$281,'F0 - Données générales'!$K$31,'F3 - Relevé du personnel'!$B$4:$B$281,11)</f>
        <v>0</v>
      </c>
      <c r="AC199" s="196">
        <f t="shared" si="110"/>
        <v>0</v>
      </c>
      <c r="AD199" s="256">
        <f>SUMIFS('F3 - Relevé du personnel'!$O$4:$O$281,'F3 - Relevé du personnel'!$D$4:$D$281,$V199,'F3 - Relevé du personnel'!$C$4:$C$281,'F0 - Données générales'!$K$31,'F3 - Relevé du personnel'!$B$4:$B$281,11)</f>
        <v>0</v>
      </c>
      <c r="AE199" s="256">
        <f>SUMIFS('F3 - Relevé du personnel'!$P$4:$P$281,'F3 - Relevé du personnel'!$D$4:$D$281,$V199,'F3 - Relevé du personnel'!$C$4:$C$281,'F0 - Données générales'!$K$31,'F3 - Relevé du personnel'!$B$4:$B$281,11)</f>
        <v>0</v>
      </c>
      <c r="AF199" s="256">
        <f>SUMIFS('F3 - Relevé du personnel'!$Q$4:$Q$281,'F3 - Relevé du personnel'!$D$4:$D$281,$V199,'F3 - Relevé du personnel'!$C$4:$C$281,'F0 - Données générales'!$K$31,'F3 - Relevé du personnel'!$B$4:$B$281,11)</f>
        <v>0</v>
      </c>
      <c r="AG199" s="182">
        <f t="shared" si="111"/>
        <v>0</v>
      </c>
      <c r="AH199" s="197" t="str">
        <f t="shared" si="113"/>
        <v/>
      </c>
      <c r="AI199" s="198" t="str">
        <f>IF(Y199=0,"",(SUMPRODUCT(($D$4:$D$253=V199)*($C$4:$C$253='F0 - Données générales'!$K$31)*($E$4:$E$253)*($F$4:$F$253)*($B$4:$B$253=11))+SUMPRODUCT(($D$257:$D$281=V199)*($C$257:$C$281='F0 - Données générales'!$K$31)*($B$257:$B$281=11)*($E$257:$E$281)*($F$257:$F$281)))/(SUMIFS('F3 - Relevé du personnel'!$E$4:$E$281,'F3 - Relevé du personnel'!$D$4:$D$281,$V199,'F3 - Relevé du personnel'!$C$4:$C$281,'F0 - Données générales'!$K$31,'F3 - Relevé du personnel'!$B$4:$B$281,11)))</f>
        <v/>
      </c>
      <c r="AK199" s="752"/>
      <c r="AL199" s="752"/>
      <c r="AM199" s="194"/>
      <c r="AN199" s="753"/>
      <c r="AO199" s="753"/>
      <c r="AP199" s="195"/>
      <c r="AQ199" s="195"/>
      <c r="AR199" s="300"/>
      <c r="AS199" s="300"/>
      <c r="AT199" s="301"/>
      <c r="AU199" s="300"/>
      <c r="AV199" s="300"/>
      <c r="AW199" s="300"/>
      <c r="AX199" s="300"/>
      <c r="AY199" s="300"/>
      <c r="AZ199" s="302"/>
      <c r="BS199" s="14"/>
      <c r="BT199" s="14"/>
      <c r="BU199" s="14"/>
      <c r="BV199" s="14"/>
    </row>
    <row r="200" spans="1:74" ht="15" customHeight="1" x14ac:dyDescent="0.3">
      <c r="A200" s="106">
        <v>197</v>
      </c>
      <c r="B200" s="324">
        <f>'F0 - Données générales'!$C$4</f>
        <v>7</v>
      </c>
      <c r="C200" s="106" t="s">
        <v>95</v>
      </c>
      <c r="D200" s="106"/>
      <c r="E200" s="107"/>
      <c r="F200" s="108"/>
      <c r="G200" s="109"/>
      <c r="H200" s="110">
        <f t="shared" si="114"/>
        <v>0</v>
      </c>
      <c r="I200" s="177"/>
      <c r="J200" s="118" t="str">
        <f>IF(OR(D200="",F200=""),"",(((HLOOKUP(D200,'Carrières et points'!$A$20:$AD$60,F200+2,FALSE)*'Carrières et points'!$C$7*'Carrières et points'!$C$9)+(HLOOKUP(D200,'Carrières et points'!$A$20:$AD$60,F200+2,FALSE)*'Carrières et points'!$C$13*'Carrières et points'!$C$15))*(1+'F0 - Données générales'!$I$4)+((HLOOKUP(D200,'Carrières et points'!$A$20:$AD$60,F200+2,FALSE)*'Carrières et points'!$C$7*'Carrières et points'!$C$9)+(HLOOKUP(D200,'Carrières et points'!$A$20:$AD$60,F200+2,FALSE)*'Carrières et points'!$C$13*'Carrières et points'!$C$15))/12*(1+'F0 - Données générales'!$L$13))*E200)</f>
        <v/>
      </c>
      <c r="K200" s="118" t="str">
        <f t="shared" si="115"/>
        <v/>
      </c>
      <c r="L200" s="109"/>
      <c r="M200" s="177"/>
      <c r="N200" s="118" t="str">
        <f t="shared" si="116"/>
        <v/>
      </c>
      <c r="O200" s="177"/>
      <c r="P200" s="177"/>
      <c r="Q200" s="177"/>
      <c r="R200" s="255" t="str">
        <f t="shared" si="117"/>
        <v/>
      </c>
      <c r="S200" s="120"/>
      <c r="T200" s="742" t="s">
        <v>61</v>
      </c>
      <c r="U200" s="742"/>
      <c r="V200" s="26" t="s">
        <v>319</v>
      </c>
      <c r="W200" s="741"/>
      <c r="X200" s="741"/>
      <c r="Y200" s="181">
        <f>SUMIFS('F3 - Relevé du personnel'!$E$4:$E$281,'F3 - Relevé du personnel'!$D$4:$D$281,$V200,'F3 - Relevé du personnel'!$C$4:$C$281,'F0 - Données générales'!$K$31,'F3 - Relevé du personnel'!$B$4:$B$281,11)</f>
        <v>0</v>
      </c>
      <c r="Z200" s="181">
        <f>SUMIFS('F3 - Relevé du personnel'!$H$4:$H$281,'F3 - Relevé du personnel'!$D$4:$D$281,$V200,'F3 - Relevé du personnel'!$C$4:$C$281,'F0 - Données générales'!$K$31,'F3 - Relevé du personnel'!$B$4:$B$281,11)</f>
        <v>0</v>
      </c>
      <c r="AA200" s="256">
        <f>SUMIFS('F3 - Relevé du personnel'!$I$4:$I$281,'F3 - Relevé du personnel'!$D$4:$D$281,$V200,'F3 - Relevé du personnel'!$C$4:$C$281,'F0 - Données générales'!$K$31,'F3 - Relevé du personnel'!$B$4:$B$281,11)</f>
        <v>0</v>
      </c>
      <c r="AB200" s="256">
        <f>SUMIFS('F3 - Relevé du personnel'!$M$4:$M$281,'F3 - Relevé du personnel'!$D$4:$D$281,$V200,'F3 - Relevé du personnel'!$C$4:$C$281,'F0 - Données générales'!$K$31,'F3 - Relevé du personnel'!$B$4:$B$281,11)</f>
        <v>0</v>
      </c>
      <c r="AC200" s="196">
        <f t="shared" si="110"/>
        <v>0</v>
      </c>
      <c r="AD200" s="256">
        <f>SUMIFS('F3 - Relevé du personnel'!$O$4:$O$281,'F3 - Relevé du personnel'!$D$4:$D$281,$V200,'F3 - Relevé du personnel'!$C$4:$C$281,'F0 - Données générales'!$K$31,'F3 - Relevé du personnel'!$B$4:$B$281,11)</f>
        <v>0</v>
      </c>
      <c r="AE200" s="256">
        <f>SUMIFS('F3 - Relevé du personnel'!$P$4:$P$281,'F3 - Relevé du personnel'!$D$4:$D$281,$V200,'F3 - Relevé du personnel'!$C$4:$C$281,'F0 - Données générales'!$K$31,'F3 - Relevé du personnel'!$B$4:$B$281,11)</f>
        <v>0</v>
      </c>
      <c r="AF200" s="256">
        <f>SUMIFS('F3 - Relevé du personnel'!$Q$4:$Q$281,'F3 - Relevé du personnel'!$D$4:$D$281,$V200,'F3 - Relevé du personnel'!$C$4:$C$281,'F0 - Données générales'!$K$31,'F3 - Relevé du personnel'!$B$4:$B$281,11)</f>
        <v>0</v>
      </c>
      <c r="AG200" s="182">
        <f t="shared" si="111"/>
        <v>0</v>
      </c>
      <c r="AH200" s="197" t="str">
        <f t="shared" si="113"/>
        <v/>
      </c>
      <c r="AI200" s="198" t="str">
        <f>IF(Y200=0,"",(SUMPRODUCT(($D$4:$D$253=V200)*($C$4:$C$253='F0 - Données générales'!$K$31)*($E$4:$E$253)*($F$4:$F$253)*($B$4:$B$253=11))+SUMPRODUCT(($D$257:$D$281=V200)*($C$257:$C$281='F0 - Données générales'!$K$31)*($B$257:$B$281=11)*($E$257:$E$281)*($F$257:$F$281)))/(SUMIFS('F3 - Relevé du personnel'!$E$4:$E$281,'F3 - Relevé du personnel'!$D$4:$D$281,$V200,'F3 - Relevé du personnel'!$C$4:$C$281,'F0 - Données générales'!$K$31,'F3 - Relevé du personnel'!$B$4:$B$281,11)))</f>
        <v/>
      </c>
      <c r="AK200" s="752"/>
      <c r="AL200" s="752"/>
      <c r="AM200" s="194"/>
      <c r="AN200" s="753"/>
      <c r="AO200" s="753"/>
      <c r="AP200" s="195"/>
      <c r="AQ200" s="195"/>
      <c r="AR200" s="300"/>
      <c r="AS200" s="300"/>
      <c r="AT200" s="301"/>
      <c r="AU200" s="300"/>
      <c r="AV200" s="300"/>
      <c r="AW200" s="300"/>
      <c r="AX200" s="300"/>
      <c r="AY200" s="300"/>
      <c r="AZ200" s="302"/>
      <c r="BS200" s="14"/>
      <c r="BT200" s="14"/>
      <c r="BU200" s="14"/>
      <c r="BV200" s="132"/>
    </row>
    <row r="201" spans="1:74" ht="15" customHeight="1" x14ac:dyDescent="0.3">
      <c r="A201" s="106">
        <v>198</v>
      </c>
      <c r="B201" s="324">
        <f>'F0 - Données générales'!$C$4</f>
        <v>7</v>
      </c>
      <c r="C201" s="106" t="s">
        <v>95</v>
      </c>
      <c r="D201" s="106"/>
      <c r="E201" s="107"/>
      <c r="F201" s="108"/>
      <c r="G201" s="109"/>
      <c r="H201" s="110">
        <f t="shared" si="114"/>
        <v>0</v>
      </c>
      <c r="I201" s="177"/>
      <c r="J201" s="118" t="str">
        <f>IF(OR(D201="",F201=""),"",(((HLOOKUP(D201,'Carrières et points'!$A$20:$AD$60,F201+2,FALSE)*'Carrières et points'!$C$7*'Carrières et points'!$C$9)+(HLOOKUP(D201,'Carrières et points'!$A$20:$AD$60,F201+2,FALSE)*'Carrières et points'!$C$13*'Carrières et points'!$C$15))*(1+'F0 - Données générales'!$I$4)+((HLOOKUP(D201,'Carrières et points'!$A$20:$AD$60,F201+2,FALSE)*'Carrières et points'!$C$7*'Carrières et points'!$C$9)+(HLOOKUP(D201,'Carrières et points'!$A$20:$AD$60,F201+2,FALSE)*'Carrières et points'!$C$13*'Carrières et points'!$C$15))/12*(1+'F0 - Données générales'!$L$13))*E201)</f>
        <v/>
      </c>
      <c r="K201" s="118" t="str">
        <f t="shared" si="115"/>
        <v/>
      </c>
      <c r="L201" s="109"/>
      <c r="M201" s="177"/>
      <c r="N201" s="118" t="str">
        <f t="shared" si="116"/>
        <v/>
      </c>
      <c r="O201" s="177"/>
      <c r="P201" s="177"/>
      <c r="Q201" s="177"/>
      <c r="R201" s="255" t="str">
        <f t="shared" si="117"/>
        <v/>
      </c>
      <c r="S201" s="120"/>
      <c r="T201" s="742" t="s">
        <v>61</v>
      </c>
      <c r="U201" s="742"/>
      <c r="V201" s="26" t="s">
        <v>99</v>
      </c>
      <c r="W201" s="741"/>
      <c r="X201" s="741"/>
      <c r="Y201" s="181">
        <f>SUMIFS('F3 - Relevé du personnel'!$E$4:$E$281,'F3 - Relevé du personnel'!$D$4:$D$281,$V201,'F3 - Relevé du personnel'!$C$4:$C$281,'F0 - Données générales'!$K$31,'F3 - Relevé du personnel'!$B$4:$B$281,11)</f>
        <v>0</v>
      </c>
      <c r="Z201" s="181">
        <f>SUMIFS('F3 - Relevé du personnel'!$H$4:$H$281,'F3 - Relevé du personnel'!$D$4:$D$281,$V201,'F3 - Relevé du personnel'!$C$4:$C$281,'F0 - Données générales'!$K$31,'F3 - Relevé du personnel'!$B$4:$B$281,11)</f>
        <v>0</v>
      </c>
      <c r="AA201" s="256">
        <f>SUMIFS('F3 - Relevé du personnel'!$I$4:$I$281,'F3 - Relevé du personnel'!$D$4:$D$281,$V201,'F3 - Relevé du personnel'!$C$4:$C$281,'F0 - Données générales'!$K$31,'F3 - Relevé du personnel'!$B$4:$B$281,11)</f>
        <v>0</v>
      </c>
      <c r="AB201" s="256">
        <f>SUMIFS('F3 - Relevé du personnel'!$M$4:$M$281,'F3 - Relevé du personnel'!$D$4:$D$281,$V201,'F3 - Relevé du personnel'!$C$4:$C$281,'F0 - Données générales'!$K$31,'F3 - Relevé du personnel'!$B$4:$B$281,11)</f>
        <v>0</v>
      </c>
      <c r="AC201" s="196">
        <f t="shared" si="110"/>
        <v>0</v>
      </c>
      <c r="AD201" s="256">
        <f>SUMIFS('F3 - Relevé du personnel'!$O$4:$O$281,'F3 - Relevé du personnel'!$D$4:$D$281,$V201,'F3 - Relevé du personnel'!$C$4:$C$281,'F0 - Données générales'!$K$31,'F3 - Relevé du personnel'!$B$4:$B$281,11)</f>
        <v>0</v>
      </c>
      <c r="AE201" s="256">
        <f>SUMIFS('F3 - Relevé du personnel'!$P$4:$P$281,'F3 - Relevé du personnel'!$D$4:$D$281,$V201,'F3 - Relevé du personnel'!$C$4:$C$281,'F0 - Données générales'!$K$31,'F3 - Relevé du personnel'!$B$4:$B$281,11)</f>
        <v>0</v>
      </c>
      <c r="AF201" s="256">
        <f>SUMIFS('F3 - Relevé du personnel'!$Q$4:$Q$281,'F3 - Relevé du personnel'!$D$4:$D$281,$V201,'F3 - Relevé du personnel'!$C$4:$C$281,'F0 - Données générales'!$K$31,'F3 - Relevé du personnel'!$B$4:$B$281,11)</f>
        <v>0</v>
      </c>
      <c r="AG201" s="182">
        <f t="shared" si="111"/>
        <v>0</v>
      </c>
      <c r="AH201" s="197" t="str">
        <f t="shared" si="113"/>
        <v/>
      </c>
      <c r="AI201" s="198" t="str">
        <f>IF(Y201=0,"",(SUMPRODUCT(($D$4:$D$253=V201)*($C$4:$C$253='F0 - Données générales'!$K$31)*($E$4:$E$253)*($F$4:$F$253)*($B$4:$B$253=11))+SUMPRODUCT(($D$257:$D$281=V201)*($C$257:$C$281='F0 - Données générales'!$K$31)*($B$257:$B$281=11)*($E$257:$E$281)*($F$257:$F$281)))/(SUMIFS('F3 - Relevé du personnel'!$E$4:$E$281,'F3 - Relevé du personnel'!$D$4:$D$281,$V201,'F3 - Relevé du personnel'!$C$4:$C$281,'F0 - Données générales'!$K$31,'F3 - Relevé du personnel'!$B$4:$B$281,11)))</f>
        <v/>
      </c>
      <c r="AK201" s="752"/>
      <c r="AL201" s="752"/>
      <c r="AM201" s="194"/>
      <c r="AN201" s="753"/>
      <c r="AO201" s="753"/>
      <c r="AP201" s="195"/>
      <c r="AQ201" s="195"/>
      <c r="AR201" s="300"/>
      <c r="AS201" s="300"/>
      <c r="AT201" s="301"/>
      <c r="AU201" s="300"/>
      <c r="AV201" s="300"/>
      <c r="AW201" s="300"/>
      <c r="AX201" s="300"/>
      <c r="AY201" s="300"/>
      <c r="AZ201" s="302"/>
      <c r="BS201" s="14"/>
      <c r="BT201" s="14"/>
      <c r="BU201" s="14"/>
      <c r="BV201" s="14"/>
    </row>
    <row r="202" spans="1:74" ht="15" customHeight="1" x14ac:dyDescent="0.3">
      <c r="A202" s="106">
        <v>199</v>
      </c>
      <c r="B202" s="324">
        <f>'F0 - Données générales'!$C$4</f>
        <v>7</v>
      </c>
      <c r="C202" s="106" t="s">
        <v>95</v>
      </c>
      <c r="D202" s="106"/>
      <c r="E202" s="107"/>
      <c r="F202" s="108"/>
      <c r="G202" s="109"/>
      <c r="H202" s="110">
        <f t="shared" si="114"/>
        <v>0</v>
      </c>
      <c r="I202" s="177"/>
      <c r="J202" s="118" t="str">
        <f>IF(OR(D202="",F202=""),"",(((HLOOKUP(D202,'Carrières et points'!$A$20:$AD$60,F202+2,FALSE)*'Carrières et points'!$C$7*'Carrières et points'!$C$9)+(HLOOKUP(D202,'Carrières et points'!$A$20:$AD$60,F202+2,FALSE)*'Carrières et points'!$C$13*'Carrières et points'!$C$15))*(1+'F0 - Données générales'!$I$4)+((HLOOKUP(D202,'Carrières et points'!$A$20:$AD$60,F202+2,FALSE)*'Carrières et points'!$C$7*'Carrières et points'!$C$9)+(HLOOKUP(D202,'Carrières et points'!$A$20:$AD$60,F202+2,FALSE)*'Carrières et points'!$C$13*'Carrières et points'!$C$15))/12*(1+'F0 - Données générales'!$L$13))*E202)</f>
        <v/>
      </c>
      <c r="K202" s="118" t="str">
        <f t="shared" si="115"/>
        <v/>
      </c>
      <c r="L202" s="109"/>
      <c r="M202" s="177"/>
      <c r="N202" s="118" t="str">
        <f t="shared" si="116"/>
        <v/>
      </c>
      <c r="O202" s="177"/>
      <c r="P202" s="177"/>
      <c r="Q202" s="177"/>
      <c r="R202" s="255" t="str">
        <f t="shared" si="117"/>
        <v/>
      </c>
      <c r="S202" s="120"/>
      <c r="T202" s="742" t="s">
        <v>61</v>
      </c>
      <c r="U202" s="742"/>
      <c r="V202" s="26" t="s">
        <v>100</v>
      </c>
      <c r="W202" s="741"/>
      <c r="X202" s="741"/>
      <c r="Y202" s="181">
        <f>SUMIFS('F3 - Relevé du personnel'!$E$4:$E$281,'F3 - Relevé du personnel'!$D$4:$D$281,$V202,'F3 - Relevé du personnel'!$C$4:$C$281,'F0 - Données générales'!$K$31,'F3 - Relevé du personnel'!$B$4:$B$281,11)</f>
        <v>0</v>
      </c>
      <c r="Z202" s="181">
        <f>SUMIFS('F3 - Relevé du personnel'!$H$4:$H$281,'F3 - Relevé du personnel'!$D$4:$D$281,$V202,'F3 - Relevé du personnel'!$C$4:$C$281,'F0 - Données générales'!$K$31,'F3 - Relevé du personnel'!$B$4:$B$281,11)</f>
        <v>0</v>
      </c>
      <c r="AA202" s="256">
        <f>SUMIFS('F3 - Relevé du personnel'!$I$4:$I$281,'F3 - Relevé du personnel'!$D$4:$D$281,$V202,'F3 - Relevé du personnel'!$C$4:$C$281,'F0 - Données générales'!$K$31,'F3 - Relevé du personnel'!$B$4:$B$281,11)</f>
        <v>0</v>
      </c>
      <c r="AB202" s="256">
        <f>SUMIFS('F3 - Relevé du personnel'!$M$4:$M$281,'F3 - Relevé du personnel'!$D$4:$D$281,$V202,'F3 - Relevé du personnel'!$C$4:$C$281,'F0 - Données générales'!$K$31,'F3 - Relevé du personnel'!$B$4:$B$281,11)</f>
        <v>0</v>
      </c>
      <c r="AC202" s="196">
        <f t="shared" si="110"/>
        <v>0</v>
      </c>
      <c r="AD202" s="256">
        <f>SUMIFS('F3 - Relevé du personnel'!$O$4:$O$281,'F3 - Relevé du personnel'!$D$4:$D$281,$V202,'F3 - Relevé du personnel'!$C$4:$C$281,'F0 - Données générales'!$K$31,'F3 - Relevé du personnel'!$B$4:$B$281,11)</f>
        <v>0</v>
      </c>
      <c r="AE202" s="256">
        <f>SUMIFS('F3 - Relevé du personnel'!$P$4:$P$281,'F3 - Relevé du personnel'!$D$4:$D$281,$V202,'F3 - Relevé du personnel'!$C$4:$C$281,'F0 - Données générales'!$K$31,'F3 - Relevé du personnel'!$B$4:$B$281,11)</f>
        <v>0</v>
      </c>
      <c r="AF202" s="256">
        <f>SUMIFS('F3 - Relevé du personnel'!$Q$4:$Q$281,'F3 - Relevé du personnel'!$D$4:$D$281,$V202,'F3 - Relevé du personnel'!$C$4:$C$281,'F0 - Données générales'!$K$31,'F3 - Relevé du personnel'!$B$4:$B$281,11)</f>
        <v>0</v>
      </c>
      <c r="AG202" s="182">
        <f t="shared" si="111"/>
        <v>0</v>
      </c>
      <c r="AH202" s="197" t="str">
        <f t="shared" si="113"/>
        <v/>
      </c>
      <c r="AI202" s="198" t="str">
        <f>IF(Y202=0,"",(SUMPRODUCT(($D$4:$D$253=V202)*($C$4:$C$253='F0 - Données générales'!$K$31)*($E$4:$E$253)*($F$4:$F$253)*($B$4:$B$253=11))+SUMPRODUCT(($D$257:$D$281=V202)*($C$257:$C$281='F0 - Données générales'!$K$31)*($B$257:$B$281=11)*($E$257:$E$281)*($F$257:$F$281)))/(SUMIFS('F3 - Relevé du personnel'!$E$4:$E$281,'F3 - Relevé du personnel'!$D$4:$D$281,$V202,'F3 - Relevé du personnel'!$C$4:$C$281,'F0 - Données générales'!$K$31,'F3 - Relevé du personnel'!$B$4:$B$281,11)))</f>
        <v/>
      </c>
      <c r="AK202" s="752"/>
      <c r="AL202" s="752"/>
      <c r="AM202" s="194"/>
      <c r="AN202" s="753"/>
      <c r="AO202" s="753"/>
      <c r="AP202" s="195"/>
      <c r="AQ202" s="195"/>
      <c r="AR202" s="300"/>
      <c r="AS202" s="300"/>
      <c r="AT202" s="301"/>
      <c r="AU202" s="300"/>
      <c r="AV202" s="300"/>
      <c r="AW202" s="300"/>
      <c r="AX202" s="300"/>
      <c r="AY202" s="300"/>
      <c r="AZ202" s="302"/>
      <c r="BS202" s="14"/>
      <c r="BT202" s="14"/>
      <c r="BU202" s="14"/>
    </row>
    <row r="203" spans="1:74" ht="15" customHeight="1" x14ac:dyDescent="0.3">
      <c r="A203" s="106">
        <v>200</v>
      </c>
      <c r="B203" s="324">
        <f>'F0 - Données générales'!$C$4</f>
        <v>7</v>
      </c>
      <c r="C203" s="106" t="s">
        <v>95</v>
      </c>
      <c r="D203" s="106"/>
      <c r="E203" s="107"/>
      <c r="F203" s="108"/>
      <c r="G203" s="109"/>
      <c r="H203" s="110">
        <f t="shared" si="114"/>
        <v>0</v>
      </c>
      <c r="I203" s="177"/>
      <c r="J203" s="118" t="str">
        <f>IF(OR(D203="",F203=""),"",(((HLOOKUP(D203,'Carrières et points'!$A$20:$AD$60,F203+2,FALSE)*'Carrières et points'!$C$7*'Carrières et points'!$C$9)+(HLOOKUP(D203,'Carrières et points'!$A$20:$AD$60,F203+2,FALSE)*'Carrières et points'!$C$13*'Carrières et points'!$C$15))*(1+'F0 - Données générales'!$I$4)+((HLOOKUP(D203,'Carrières et points'!$A$20:$AD$60,F203+2,FALSE)*'Carrières et points'!$C$7*'Carrières et points'!$C$9)+(HLOOKUP(D203,'Carrières et points'!$A$20:$AD$60,F203+2,FALSE)*'Carrières et points'!$C$13*'Carrières et points'!$C$15))/12*(1+'F0 - Données générales'!$L$13))*E203)</f>
        <v/>
      </c>
      <c r="K203" s="118" t="str">
        <f t="shared" si="115"/>
        <v/>
      </c>
      <c r="L203" s="109"/>
      <c r="M203" s="177"/>
      <c r="N203" s="118" t="str">
        <f t="shared" si="116"/>
        <v/>
      </c>
      <c r="O203" s="177"/>
      <c r="P203" s="177"/>
      <c r="Q203" s="177"/>
      <c r="R203" s="255" t="str">
        <f t="shared" si="117"/>
        <v/>
      </c>
      <c r="S203" s="120"/>
      <c r="T203" s="743"/>
      <c r="U203" s="743"/>
      <c r="V203" s="749" t="s">
        <v>168</v>
      </c>
      <c r="W203" s="749"/>
      <c r="X203" s="749"/>
      <c r="Y203" s="199">
        <f>SUM(Y193:Y202)</f>
        <v>0</v>
      </c>
      <c r="Z203" s="199">
        <f>SUM(Z193:Z202)</f>
        <v>0</v>
      </c>
      <c r="AA203" s="200">
        <f>SUM(AA193:AA202)</f>
        <v>0</v>
      </c>
      <c r="AB203" s="200">
        <f>SUM(AB193:AB202)</f>
        <v>0</v>
      </c>
      <c r="AC203" s="200">
        <f t="shared" si="110"/>
        <v>0</v>
      </c>
      <c r="AD203" s="200">
        <f>SUM(AD193:AD202)</f>
        <v>0</v>
      </c>
      <c r="AE203" s="200">
        <f>SUM(AE193:AE202)</f>
        <v>0</v>
      </c>
      <c r="AF203" s="200">
        <f>SUM(AF193:AF202)</f>
        <v>0</v>
      </c>
      <c r="AG203" s="201">
        <f t="shared" si="111"/>
        <v>0</v>
      </c>
      <c r="AH203" s="201" t="str">
        <f t="shared" si="113"/>
        <v/>
      </c>
      <c r="AI203" s="202"/>
      <c r="AK203" s="754"/>
      <c r="AL203" s="754"/>
      <c r="AM203" s="755"/>
      <c r="AN203" s="755"/>
      <c r="AO203" s="755"/>
      <c r="AP203" s="179"/>
      <c r="AQ203" s="179"/>
      <c r="AR203" s="170"/>
      <c r="AS203" s="170"/>
      <c r="AT203" s="170"/>
      <c r="AU203" s="170"/>
      <c r="AV203" s="170"/>
      <c r="AW203" s="170"/>
      <c r="AX203" s="172"/>
      <c r="AY203" s="172"/>
      <c r="AZ203" s="180"/>
      <c r="BS203" s="14"/>
      <c r="BT203" s="14"/>
      <c r="BU203" s="14"/>
      <c r="BV203" s="14"/>
    </row>
    <row r="204" spans="1:74" ht="15" customHeight="1" x14ac:dyDescent="0.3">
      <c r="A204" s="106">
        <v>201</v>
      </c>
      <c r="B204" s="324">
        <f>'F0 - Données générales'!$C$4</f>
        <v>7</v>
      </c>
      <c r="C204" s="106" t="s">
        <v>95</v>
      </c>
      <c r="D204" s="106"/>
      <c r="E204" s="107"/>
      <c r="F204" s="108"/>
      <c r="G204" s="109"/>
      <c r="H204" s="110">
        <f t="shared" si="114"/>
        <v>0</v>
      </c>
      <c r="I204" s="177"/>
      <c r="J204" s="118" t="str">
        <f>IF(OR(D204="",F204=""),"",(((HLOOKUP(D204,'Carrières et points'!$A$20:$AD$60,F204+2,FALSE)*'Carrières et points'!$C$7*'Carrières et points'!$C$9)+(HLOOKUP(D204,'Carrières et points'!$A$20:$AD$60,F204+2,FALSE)*'Carrières et points'!$C$13*'Carrières et points'!$C$15))*(1+'F0 - Données générales'!$I$4)+((HLOOKUP(D204,'Carrières et points'!$A$20:$AD$60,F204+2,FALSE)*'Carrières et points'!$C$7*'Carrières et points'!$C$9)+(HLOOKUP(D204,'Carrières et points'!$A$20:$AD$60,F204+2,FALSE)*'Carrières et points'!$C$13*'Carrières et points'!$C$15))/12*(1+'F0 - Données générales'!$L$13))*E204)</f>
        <v/>
      </c>
      <c r="K204" s="118" t="str">
        <f t="shared" si="115"/>
        <v/>
      </c>
      <c r="L204" s="109"/>
      <c r="M204" s="177"/>
      <c r="N204" s="118" t="str">
        <f t="shared" si="116"/>
        <v/>
      </c>
      <c r="O204" s="177"/>
      <c r="P204" s="177"/>
      <c r="Q204" s="177"/>
      <c r="R204" s="255" t="str">
        <f t="shared" si="117"/>
        <v/>
      </c>
      <c r="S204" s="120"/>
      <c r="T204" s="750" t="s">
        <v>57</v>
      </c>
      <c r="U204" s="750"/>
      <c r="V204" s="750"/>
      <c r="W204" s="750"/>
      <c r="X204" s="750"/>
      <c r="Y204" s="183">
        <f t="shared" ref="Y204:AG204" si="118">Y183+Y190+Y192+Y203</f>
        <v>0</v>
      </c>
      <c r="Z204" s="183">
        <f t="shared" si="118"/>
        <v>0</v>
      </c>
      <c r="AA204" s="184">
        <f t="shared" si="118"/>
        <v>0</v>
      </c>
      <c r="AB204" s="184">
        <f t="shared" si="118"/>
        <v>0</v>
      </c>
      <c r="AC204" s="184">
        <f t="shared" si="118"/>
        <v>0</v>
      </c>
      <c r="AD204" s="184">
        <f t="shared" si="118"/>
        <v>0</v>
      </c>
      <c r="AE204" s="184">
        <f t="shared" si="118"/>
        <v>0</v>
      </c>
      <c r="AF204" s="184">
        <f t="shared" si="118"/>
        <v>0</v>
      </c>
      <c r="AG204" s="185">
        <f t="shared" si="118"/>
        <v>0</v>
      </c>
      <c r="AH204" s="185" t="str">
        <f t="shared" si="113"/>
        <v/>
      </c>
      <c r="AI204" s="186" t="str">
        <f>IF(Y204=0,"",(SUMPRODUCT(($C$4:$C$253='F0 - Données générales'!$K$31)*($E$4:$E$253)*($F$4:$F$253)*($B$4:$B$253=11))+SUMPRODUCT(($C$257:$C$281='F0 - Données générales'!$K$31)*($B$257:$B$281=11)*($E$257:$E$281)*($F$257:$F$281)))/(SUMIFS('F3 - Relevé du personnel'!$E$4:$E$281,'F3 - Relevé du personnel'!$C$4:$C$281,'F0 - Données générales'!$K$31,'F3 - Relevé du personnel'!$B$4:$B$281,11)))</f>
        <v/>
      </c>
      <c r="AK204" s="751"/>
      <c r="AL204" s="751"/>
      <c r="AM204" s="751"/>
      <c r="AN204" s="751"/>
      <c r="AO204" s="751"/>
      <c r="AP204" s="179"/>
      <c r="AQ204" s="179"/>
      <c r="AR204" s="170"/>
      <c r="AS204" s="170"/>
      <c r="AT204" s="170"/>
      <c r="AU204" s="170"/>
      <c r="AV204" s="170"/>
      <c r="AW204" s="170"/>
      <c r="AX204" s="172"/>
      <c r="AY204" s="172"/>
      <c r="AZ204" s="180"/>
      <c r="BS204" s="14"/>
      <c r="BT204" s="14"/>
      <c r="BU204" s="14"/>
      <c r="BV204" s="14"/>
    </row>
    <row r="205" spans="1:74" ht="15" customHeight="1" x14ac:dyDescent="0.3">
      <c r="A205" s="106">
        <v>202</v>
      </c>
      <c r="B205" s="324">
        <f>'F0 - Données générales'!$C$4</f>
        <v>7</v>
      </c>
      <c r="C205" s="106" t="s">
        <v>95</v>
      </c>
      <c r="D205" s="106"/>
      <c r="E205" s="107"/>
      <c r="F205" s="108"/>
      <c r="G205" s="109"/>
      <c r="H205" s="110">
        <f t="shared" si="114"/>
        <v>0</v>
      </c>
      <c r="I205" s="177"/>
      <c r="J205" s="118" t="str">
        <f>IF(OR(D205="",F205=""),"",(((HLOOKUP(D205,'Carrières et points'!$A$20:$AD$60,F205+2,FALSE)*'Carrières et points'!$C$7*'Carrières et points'!$C$9)+(HLOOKUP(D205,'Carrières et points'!$A$20:$AD$60,F205+2,FALSE)*'Carrières et points'!$C$13*'Carrières et points'!$C$15))*(1+'F0 - Données générales'!$I$4)+((HLOOKUP(D205,'Carrières et points'!$A$20:$AD$60,F205+2,FALSE)*'Carrières et points'!$C$7*'Carrières et points'!$C$9)+(HLOOKUP(D205,'Carrières et points'!$A$20:$AD$60,F205+2,FALSE)*'Carrières et points'!$C$13*'Carrières et points'!$C$15))/12*(1+'F0 - Données générales'!$L$13))*E205)</f>
        <v/>
      </c>
      <c r="K205" s="118" t="str">
        <f t="shared" si="115"/>
        <v/>
      </c>
      <c r="L205" s="109"/>
      <c r="M205" s="177"/>
      <c r="N205" s="118" t="str">
        <f t="shared" si="116"/>
        <v/>
      </c>
      <c r="O205" s="177"/>
      <c r="P205" s="177"/>
      <c r="Q205" s="177"/>
      <c r="R205" s="255" t="str">
        <f t="shared" si="117"/>
        <v/>
      </c>
      <c r="S205" s="120"/>
      <c r="T205" s="120"/>
      <c r="U205" s="120"/>
      <c r="V205" s="120"/>
      <c r="W205" s="120"/>
      <c r="X205" s="120"/>
      <c r="Y205" s="120"/>
      <c r="Z205" s="120"/>
      <c r="AA205" s="120"/>
      <c r="AB205" s="120"/>
      <c r="AC205" s="120"/>
      <c r="AD205" s="120"/>
      <c r="AE205" s="120"/>
      <c r="AF205" s="120"/>
      <c r="AG205" s="120"/>
      <c r="AH205" s="120"/>
      <c r="AI205" s="120"/>
      <c r="AK205" s="120"/>
      <c r="AL205" s="120"/>
      <c r="AM205" s="120"/>
      <c r="AN205" s="120"/>
      <c r="AO205" s="120"/>
      <c r="AP205" s="120"/>
      <c r="AQ205" s="120"/>
      <c r="AR205" s="120"/>
      <c r="AS205" s="120"/>
      <c r="AT205" s="120"/>
      <c r="AU205" s="120"/>
      <c r="AV205" s="120"/>
      <c r="AW205" s="120"/>
      <c r="AX205" s="120"/>
      <c r="AY205" s="120"/>
      <c r="AZ205" s="120"/>
      <c r="BS205" s="14"/>
      <c r="BT205" s="14"/>
      <c r="BU205" s="14"/>
      <c r="BV205" s="14"/>
    </row>
    <row r="206" spans="1:74" ht="15" customHeight="1" x14ac:dyDescent="0.3">
      <c r="A206" s="106">
        <v>203</v>
      </c>
      <c r="B206" s="324">
        <f>'F0 - Données générales'!$C$4</f>
        <v>7</v>
      </c>
      <c r="C206" s="106" t="s">
        <v>95</v>
      </c>
      <c r="D206" s="106"/>
      <c r="E206" s="107"/>
      <c r="F206" s="108"/>
      <c r="G206" s="109"/>
      <c r="H206" s="110">
        <f t="shared" si="114"/>
        <v>0</v>
      </c>
      <c r="I206" s="177"/>
      <c r="J206" s="118" t="str">
        <f>IF(OR(D206="",F206=""),"",(((HLOOKUP(D206,'Carrières et points'!$A$20:$AD$60,F206+2,FALSE)*'Carrières et points'!$C$7*'Carrières et points'!$C$9)+(HLOOKUP(D206,'Carrières et points'!$A$20:$AD$60,F206+2,FALSE)*'Carrières et points'!$C$13*'Carrières et points'!$C$15))*(1+'F0 - Données générales'!$I$4)+((HLOOKUP(D206,'Carrières et points'!$A$20:$AD$60,F206+2,FALSE)*'Carrières et points'!$C$7*'Carrières et points'!$C$9)+(HLOOKUP(D206,'Carrières et points'!$A$20:$AD$60,F206+2,FALSE)*'Carrières et points'!$C$13*'Carrières et points'!$C$15))/12*(1+'F0 - Données générales'!$L$13))*E206)</f>
        <v/>
      </c>
      <c r="K206" s="118" t="str">
        <f t="shared" si="115"/>
        <v/>
      </c>
      <c r="L206" s="109"/>
      <c r="M206" s="177"/>
      <c r="N206" s="118" t="str">
        <f t="shared" si="116"/>
        <v/>
      </c>
      <c r="O206" s="177"/>
      <c r="P206" s="177"/>
      <c r="Q206" s="177"/>
      <c r="R206" s="255" t="str">
        <f t="shared" si="117"/>
        <v/>
      </c>
      <c r="S206" s="120"/>
      <c r="T206" s="120"/>
      <c r="U206" s="120"/>
      <c r="V206" s="120"/>
      <c r="W206" s="120"/>
      <c r="X206" s="120"/>
      <c r="Y206" s="120"/>
      <c r="Z206" s="120"/>
      <c r="AA206" s="120"/>
      <c r="AB206" s="120"/>
      <c r="AC206" s="120"/>
      <c r="AD206" s="120"/>
      <c r="AE206" s="120"/>
      <c r="AF206" s="120"/>
      <c r="AG206" s="120"/>
      <c r="AH206" s="120"/>
      <c r="AI206" s="120"/>
      <c r="AK206" s="120"/>
      <c r="AL206" s="120"/>
      <c r="AM206" s="120"/>
      <c r="AN206" s="120"/>
      <c r="AO206" s="120"/>
      <c r="AP206" s="120"/>
      <c r="AQ206" s="120"/>
      <c r="AR206" s="120"/>
      <c r="AS206" s="120"/>
      <c r="AT206" s="120"/>
      <c r="AU206" s="120"/>
      <c r="AV206" s="120"/>
      <c r="AW206" s="120"/>
      <c r="AX206" s="120"/>
      <c r="AY206" s="120"/>
      <c r="AZ206" s="120"/>
      <c r="BS206" s="14"/>
      <c r="BT206" s="14"/>
      <c r="BU206" s="132"/>
      <c r="BV206" s="14"/>
    </row>
    <row r="207" spans="1:74" ht="15" customHeight="1" x14ac:dyDescent="0.3">
      <c r="A207" s="106">
        <v>204</v>
      </c>
      <c r="B207" s="324">
        <f>'F0 - Données générales'!$C$4</f>
        <v>7</v>
      </c>
      <c r="C207" s="106" t="s">
        <v>95</v>
      </c>
      <c r="D207" s="106"/>
      <c r="E207" s="107"/>
      <c r="F207" s="108"/>
      <c r="G207" s="109"/>
      <c r="H207" s="110">
        <f t="shared" si="114"/>
        <v>0</v>
      </c>
      <c r="I207" s="177"/>
      <c r="J207" s="118" t="str">
        <f>IF(OR(D207="",F207=""),"",(((HLOOKUP(D207,'Carrières et points'!$A$20:$AD$60,F207+2,FALSE)*'Carrières et points'!$C$7*'Carrières et points'!$C$9)+(HLOOKUP(D207,'Carrières et points'!$A$20:$AD$60,F207+2,FALSE)*'Carrières et points'!$C$13*'Carrières et points'!$C$15))*(1+'F0 - Données générales'!$I$4)+((HLOOKUP(D207,'Carrières et points'!$A$20:$AD$60,F207+2,FALSE)*'Carrières et points'!$C$7*'Carrières et points'!$C$9)+(HLOOKUP(D207,'Carrières et points'!$A$20:$AD$60,F207+2,FALSE)*'Carrières et points'!$C$13*'Carrières et points'!$C$15))/12*(1+'F0 - Données générales'!$L$13))*E207)</f>
        <v/>
      </c>
      <c r="K207" s="118" t="str">
        <f t="shared" si="115"/>
        <v/>
      </c>
      <c r="L207" s="109"/>
      <c r="M207" s="177"/>
      <c r="N207" s="118" t="str">
        <f t="shared" si="116"/>
        <v/>
      </c>
      <c r="O207" s="177"/>
      <c r="P207" s="177"/>
      <c r="Q207" s="177"/>
      <c r="R207" s="255" t="str">
        <f t="shared" si="117"/>
        <v/>
      </c>
      <c r="S207" s="120"/>
      <c r="T207" s="120"/>
      <c r="U207" s="120"/>
      <c r="V207" s="120"/>
      <c r="W207" s="120"/>
      <c r="X207" s="120"/>
      <c r="Y207" s="120"/>
      <c r="Z207" s="120"/>
      <c r="AA207" s="120"/>
      <c r="AB207" s="120"/>
      <c r="AC207" s="120"/>
      <c r="AD207" s="120"/>
      <c r="AE207" s="120"/>
      <c r="AF207" s="120"/>
      <c r="AG207" s="120"/>
      <c r="AH207" s="120"/>
      <c r="AI207" s="120"/>
      <c r="AK207" s="120"/>
      <c r="AL207" s="120"/>
      <c r="AM207" s="120"/>
      <c r="AN207" s="120"/>
      <c r="AO207" s="120"/>
      <c r="AP207" s="120"/>
      <c r="AQ207" s="120"/>
      <c r="AR207" s="120"/>
      <c r="AS207" s="120"/>
      <c r="AT207" s="120"/>
      <c r="AU207" s="120"/>
      <c r="AV207" s="120"/>
      <c r="AW207" s="120"/>
      <c r="AX207" s="120"/>
      <c r="AY207" s="120"/>
      <c r="AZ207" s="120"/>
      <c r="BS207" s="132"/>
      <c r="BT207" s="132"/>
      <c r="BU207" s="14"/>
      <c r="BV207" s="14"/>
    </row>
    <row r="208" spans="1:74" ht="15" customHeight="1" x14ac:dyDescent="0.3">
      <c r="A208" s="106">
        <v>205</v>
      </c>
      <c r="B208" s="324">
        <f>'F0 - Données générales'!$C$4</f>
        <v>7</v>
      </c>
      <c r="C208" s="106" t="s">
        <v>95</v>
      </c>
      <c r="D208" s="106"/>
      <c r="E208" s="107"/>
      <c r="F208" s="108"/>
      <c r="G208" s="109"/>
      <c r="H208" s="110">
        <f t="shared" si="114"/>
        <v>0</v>
      </c>
      <c r="I208" s="177"/>
      <c r="J208" s="118" t="str">
        <f>IF(OR(D208="",F208=""),"",(((HLOOKUP(D208,'Carrières et points'!$A$20:$AD$60,F208+2,FALSE)*'Carrières et points'!$C$7*'Carrières et points'!$C$9)+(HLOOKUP(D208,'Carrières et points'!$A$20:$AD$60,F208+2,FALSE)*'Carrières et points'!$C$13*'Carrières et points'!$C$15))*(1+'F0 - Données générales'!$I$4)+((HLOOKUP(D208,'Carrières et points'!$A$20:$AD$60,F208+2,FALSE)*'Carrières et points'!$C$7*'Carrières et points'!$C$9)+(HLOOKUP(D208,'Carrières et points'!$A$20:$AD$60,F208+2,FALSE)*'Carrières et points'!$C$13*'Carrières et points'!$C$15))/12*(1+'F0 - Données générales'!$L$13))*E208)</f>
        <v/>
      </c>
      <c r="K208" s="118" t="str">
        <f t="shared" si="115"/>
        <v/>
      </c>
      <c r="L208" s="109"/>
      <c r="M208" s="177"/>
      <c r="N208" s="118" t="str">
        <f t="shared" si="116"/>
        <v/>
      </c>
      <c r="O208" s="177"/>
      <c r="P208" s="177"/>
      <c r="Q208" s="177"/>
      <c r="R208" s="255" t="str">
        <f t="shared" si="117"/>
        <v/>
      </c>
      <c r="S208" s="120"/>
      <c r="T208" s="120"/>
      <c r="U208" s="120"/>
      <c r="V208" s="120"/>
      <c r="W208" s="120"/>
      <c r="X208" s="120"/>
      <c r="Y208" s="120"/>
      <c r="Z208" s="120"/>
      <c r="AA208" s="120"/>
      <c r="AB208" s="120"/>
      <c r="AC208" s="120"/>
      <c r="AD208" s="120"/>
      <c r="AE208" s="120"/>
      <c r="AF208" s="120"/>
      <c r="AG208" s="120"/>
      <c r="AH208" s="120"/>
      <c r="AI208" s="120"/>
      <c r="AK208" s="120"/>
      <c r="AL208" s="120"/>
      <c r="AM208" s="120"/>
      <c r="AN208" s="120"/>
      <c r="AO208" s="120"/>
      <c r="AP208" s="120"/>
      <c r="AQ208" s="120"/>
      <c r="AR208" s="120"/>
      <c r="AS208" s="120"/>
      <c r="AT208" s="120"/>
      <c r="AU208" s="120"/>
      <c r="AV208" s="120"/>
      <c r="AW208" s="120"/>
      <c r="AX208" s="120"/>
      <c r="AY208" s="120"/>
      <c r="AZ208" s="120"/>
      <c r="BS208" s="14"/>
      <c r="BT208" s="14"/>
      <c r="BU208" s="132"/>
      <c r="BV208" s="14"/>
    </row>
    <row r="209" spans="1:74" ht="15" customHeight="1" x14ac:dyDescent="0.3">
      <c r="A209" s="106">
        <v>206</v>
      </c>
      <c r="B209" s="324">
        <f>'F0 - Données générales'!$C$4</f>
        <v>7</v>
      </c>
      <c r="C209" s="106" t="s">
        <v>95</v>
      </c>
      <c r="D209" s="106"/>
      <c r="E209" s="107"/>
      <c r="F209" s="108"/>
      <c r="G209" s="109"/>
      <c r="H209" s="110">
        <f t="shared" si="114"/>
        <v>0</v>
      </c>
      <c r="I209" s="177"/>
      <c r="J209" s="118" t="str">
        <f>IF(OR(D209="",F209=""),"",(((HLOOKUP(D209,'Carrières et points'!$A$20:$AD$60,F209+2,FALSE)*'Carrières et points'!$C$7*'Carrières et points'!$C$9)+(HLOOKUP(D209,'Carrières et points'!$A$20:$AD$60,F209+2,FALSE)*'Carrières et points'!$C$13*'Carrières et points'!$C$15))*(1+'F0 - Données générales'!$I$4)+((HLOOKUP(D209,'Carrières et points'!$A$20:$AD$60,F209+2,FALSE)*'Carrières et points'!$C$7*'Carrières et points'!$C$9)+(HLOOKUP(D209,'Carrières et points'!$A$20:$AD$60,F209+2,FALSE)*'Carrières et points'!$C$13*'Carrières et points'!$C$15))/12*(1+'F0 - Données générales'!$L$13))*E209)</f>
        <v/>
      </c>
      <c r="K209" s="118" t="str">
        <f t="shared" si="115"/>
        <v/>
      </c>
      <c r="L209" s="109"/>
      <c r="M209" s="177"/>
      <c r="N209" s="118" t="str">
        <f t="shared" si="116"/>
        <v/>
      </c>
      <c r="O209" s="177"/>
      <c r="P209" s="177"/>
      <c r="Q209" s="177"/>
      <c r="R209" s="255" t="str">
        <f t="shared" si="117"/>
        <v/>
      </c>
      <c r="S209" s="120"/>
      <c r="T209" s="120"/>
      <c r="U209" s="120"/>
      <c r="V209" s="120"/>
      <c r="W209" s="120"/>
      <c r="X209" s="120"/>
      <c r="Y209" s="120"/>
      <c r="Z209" s="120"/>
      <c r="AA209" s="120"/>
      <c r="AB209" s="120"/>
      <c r="AC209" s="120"/>
      <c r="AD209" s="120"/>
      <c r="AE209" s="120"/>
      <c r="AF209" s="120"/>
      <c r="AG209" s="120"/>
      <c r="AH209" s="120"/>
      <c r="AI209" s="120"/>
      <c r="AK209" s="120"/>
      <c r="AL209" s="120"/>
      <c r="AM209" s="120"/>
      <c r="AN209" s="120"/>
      <c r="AO209" s="120"/>
      <c r="AP209" s="120"/>
      <c r="AQ209" s="120"/>
      <c r="AR209" s="120"/>
      <c r="AS209" s="120"/>
      <c r="AT209" s="120"/>
      <c r="AU209" s="120"/>
      <c r="AV209" s="120"/>
      <c r="AW209" s="120"/>
      <c r="AX209" s="120"/>
      <c r="AY209" s="120"/>
      <c r="AZ209" s="120"/>
      <c r="BS209" s="132"/>
      <c r="BT209" s="132"/>
      <c r="BU209" s="14"/>
      <c r="BV209" s="14"/>
    </row>
    <row r="210" spans="1:74" ht="15" customHeight="1" x14ac:dyDescent="0.3">
      <c r="A210" s="106">
        <v>207</v>
      </c>
      <c r="B210" s="324">
        <f>'F0 - Données générales'!$C$4</f>
        <v>7</v>
      </c>
      <c r="C210" s="106" t="s">
        <v>95</v>
      </c>
      <c r="D210" s="106"/>
      <c r="E210" s="107"/>
      <c r="F210" s="108"/>
      <c r="G210" s="109"/>
      <c r="H210" s="110">
        <f t="shared" si="114"/>
        <v>0</v>
      </c>
      <c r="I210" s="177"/>
      <c r="J210" s="118" t="str">
        <f>IF(OR(D210="",F210=""),"",(((HLOOKUP(D210,'Carrières et points'!$A$20:$AD$60,F210+2,FALSE)*'Carrières et points'!$C$7*'Carrières et points'!$C$9)+(HLOOKUP(D210,'Carrières et points'!$A$20:$AD$60,F210+2,FALSE)*'Carrières et points'!$C$13*'Carrières et points'!$C$15))*(1+'F0 - Données générales'!$I$4)+((HLOOKUP(D210,'Carrières et points'!$A$20:$AD$60,F210+2,FALSE)*'Carrières et points'!$C$7*'Carrières et points'!$C$9)+(HLOOKUP(D210,'Carrières et points'!$A$20:$AD$60,F210+2,FALSE)*'Carrières et points'!$C$13*'Carrières et points'!$C$15))/12*(1+'F0 - Données générales'!$L$13))*E210)</f>
        <v/>
      </c>
      <c r="K210" s="118" t="str">
        <f t="shared" si="115"/>
        <v/>
      </c>
      <c r="L210" s="109"/>
      <c r="M210" s="177"/>
      <c r="N210" s="118" t="str">
        <f t="shared" si="116"/>
        <v/>
      </c>
      <c r="O210" s="177"/>
      <c r="P210" s="177"/>
      <c r="Q210" s="177"/>
      <c r="R210" s="255" t="str">
        <f t="shared" si="117"/>
        <v/>
      </c>
      <c r="S210" s="120"/>
      <c r="T210" s="120"/>
      <c r="U210" s="120"/>
      <c r="V210" s="120"/>
      <c r="W210" s="120"/>
      <c r="X210" s="120"/>
      <c r="Y210" s="120"/>
      <c r="Z210" s="120"/>
      <c r="AA210" s="120"/>
      <c r="AB210" s="120"/>
      <c r="AC210" s="120"/>
      <c r="AD210" s="120"/>
      <c r="AE210" s="120"/>
      <c r="AF210" s="120"/>
      <c r="AG210" s="120"/>
      <c r="AH210" s="120"/>
      <c r="AI210" s="120"/>
      <c r="AK210" s="120"/>
      <c r="AL210" s="120"/>
      <c r="AM210" s="120"/>
      <c r="AN210" s="120"/>
      <c r="AO210" s="120"/>
      <c r="AP210" s="120"/>
      <c r="AQ210" s="120"/>
      <c r="AR210" s="120"/>
      <c r="AS210" s="120"/>
      <c r="AT210" s="120"/>
      <c r="AU210" s="120"/>
      <c r="AV210" s="120"/>
      <c r="AW210" s="120"/>
      <c r="AX210" s="120"/>
      <c r="AY210" s="120"/>
      <c r="AZ210" s="120"/>
      <c r="BS210" s="14"/>
      <c r="BT210" s="14"/>
      <c r="BV210" s="14"/>
    </row>
    <row r="211" spans="1:74" ht="15" customHeight="1" x14ac:dyDescent="0.3">
      <c r="A211" s="106">
        <v>208</v>
      </c>
      <c r="B211" s="324">
        <f>'F0 - Données générales'!$C$4</f>
        <v>7</v>
      </c>
      <c r="C211" s="106" t="s">
        <v>95</v>
      </c>
      <c r="D211" s="106"/>
      <c r="E211" s="107"/>
      <c r="F211" s="108"/>
      <c r="G211" s="109"/>
      <c r="H211" s="110">
        <f t="shared" si="114"/>
        <v>0</v>
      </c>
      <c r="I211" s="177"/>
      <c r="J211" s="118" t="str">
        <f>IF(OR(D211="",F211=""),"",(((HLOOKUP(D211,'Carrières et points'!$A$20:$AD$60,F211+2,FALSE)*'Carrières et points'!$C$7*'Carrières et points'!$C$9)+(HLOOKUP(D211,'Carrières et points'!$A$20:$AD$60,F211+2,FALSE)*'Carrières et points'!$C$13*'Carrières et points'!$C$15))*(1+'F0 - Données générales'!$I$4)+((HLOOKUP(D211,'Carrières et points'!$A$20:$AD$60,F211+2,FALSE)*'Carrières et points'!$C$7*'Carrières et points'!$C$9)+(HLOOKUP(D211,'Carrières et points'!$A$20:$AD$60,F211+2,FALSE)*'Carrières et points'!$C$13*'Carrières et points'!$C$15))/12*(1+'F0 - Données générales'!$L$13))*E211)</f>
        <v/>
      </c>
      <c r="K211" s="118" t="str">
        <f t="shared" si="115"/>
        <v/>
      </c>
      <c r="L211" s="109"/>
      <c r="M211" s="177"/>
      <c r="N211" s="118" t="str">
        <f t="shared" si="116"/>
        <v/>
      </c>
      <c r="O211" s="177"/>
      <c r="P211" s="177"/>
      <c r="Q211" s="177"/>
      <c r="R211" s="255" t="str">
        <f t="shared" si="117"/>
        <v/>
      </c>
      <c r="S211" s="120"/>
      <c r="T211" s="120"/>
      <c r="U211" s="120"/>
      <c r="V211" s="120"/>
      <c r="W211" s="120"/>
      <c r="X211" s="120"/>
      <c r="Y211" s="120"/>
      <c r="Z211" s="120"/>
      <c r="AA211" s="120"/>
      <c r="AB211" s="120"/>
      <c r="AC211" s="120"/>
      <c r="AD211" s="120"/>
      <c r="AE211" s="120"/>
      <c r="AF211" s="120"/>
      <c r="AG211" s="120"/>
      <c r="AH211" s="120"/>
      <c r="AI211" s="120"/>
      <c r="AK211" s="120"/>
      <c r="AL211" s="120"/>
      <c r="AM211" s="120"/>
      <c r="AN211" s="120"/>
      <c r="AO211" s="120"/>
      <c r="AP211" s="120"/>
      <c r="AQ211" s="120"/>
      <c r="AR211" s="120"/>
      <c r="AS211" s="120"/>
      <c r="AT211" s="120"/>
      <c r="AU211" s="120"/>
      <c r="AV211" s="120"/>
      <c r="AW211" s="120"/>
      <c r="AX211" s="120"/>
      <c r="AY211" s="120"/>
      <c r="AZ211" s="120"/>
      <c r="BU211" s="14"/>
      <c r="BV211" s="14"/>
    </row>
    <row r="212" spans="1:74" ht="15" customHeight="1" x14ac:dyDescent="0.3">
      <c r="A212" s="106">
        <v>209</v>
      </c>
      <c r="B212" s="324">
        <f>'F0 - Données générales'!$C$4</f>
        <v>7</v>
      </c>
      <c r="C212" s="106" t="s">
        <v>95</v>
      </c>
      <c r="D212" s="106"/>
      <c r="E212" s="107"/>
      <c r="F212" s="108"/>
      <c r="G212" s="109"/>
      <c r="H212" s="110">
        <f t="shared" si="114"/>
        <v>0</v>
      </c>
      <c r="I212" s="177"/>
      <c r="J212" s="118" t="str">
        <f>IF(OR(D212="",F212=""),"",(((HLOOKUP(D212,'Carrières et points'!$A$20:$AD$60,F212+2,FALSE)*'Carrières et points'!$C$7*'Carrières et points'!$C$9)+(HLOOKUP(D212,'Carrières et points'!$A$20:$AD$60,F212+2,FALSE)*'Carrières et points'!$C$13*'Carrières et points'!$C$15))*(1+'F0 - Données générales'!$I$4)+((HLOOKUP(D212,'Carrières et points'!$A$20:$AD$60,F212+2,FALSE)*'Carrières et points'!$C$7*'Carrières et points'!$C$9)+(HLOOKUP(D212,'Carrières et points'!$A$20:$AD$60,F212+2,FALSE)*'Carrières et points'!$C$13*'Carrières et points'!$C$15))/12*(1+'F0 - Données générales'!$L$13))*E212)</f>
        <v/>
      </c>
      <c r="K212" s="118" t="str">
        <f t="shared" si="115"/>
        <v/>
      </c>
      <c r="L212" s="109"/>
      <c r="M212" s="177"/>
      <c r="N212" s="118" t="str">
        <f t="shared" si="116"/>
        <v/>
      </c>
      <c r="O212" s="177"/>
      <c r="P212" s="177"/>
      <c r="Q212" s="177"/>
      <c r="R212" s="255" t="str">
        <f t="shared" si="117"/>
        <v/>
      </c>
      <c r="S212" s="120"/>
      <c r="T212" s="120"/>
      <c r="U212" s="120"/>
      <c r="V212" s="120"/>
      <c r="W212" s="120"/>
      <c r="X212" s="120"/>
      <c r="Y212" s="120"/>
      <c r="Z212" s="120"/>
      <c r="AA212" s="120"/>
      <c r="AB212" s="120"/>
      <c r="AC212" s="120"/>
      <c r="AD212" s="120"/>
      <c r="AE212" s="120"/>
      <c r="AF212" s="120"/>
      <c r="AG212" s="120"/>
      <c r="AH212" s="120"/>
      <c r="AI212" s="120"/>
      <c r="AK212" s="120"/>
      <c r="AL212" s="120"/>
      <c r="AM212" s="120"/>
      <c r="AN212" s="120"/>
      <c r="AO212" s="120"/>
      <c r="AP212" s="120"/>
      <c r="AQ212" s="120"/>
      <c r="AR212" s="120"/>
      <c r="AS212" s="120"/>
      <c r="AT212" s="120"/>
      <c r="AU212" s="120"/>
      <c r="AV212" s="120"/>
      <c r="AW212" s="120"/>
      <c r="AX212" s="120"/>
      <c r="AY212" s="120"/>
      <c r="AZ212" s="120"/>
      <c r="BS212" s="14"/>
      <c r="BT212" s="14"/>
      <c r="BU212" s="14"/>
      <c r="BV212" s="14"/>
    </row>
    <row r="213" spans="1:74" ht="15" customHeight="1" x14ac:dyDescent="0.3">
      <c r="A213" s="106">
        <v>210</v>
      </c>
      <c r="B213" s="324">
        <f>'F0 - Données générales'!$C$4</f>
        <v>7</v>
      </c>
      <c r="C213" s="106" t="s">
        <v>95</v>
      </c>
      <c r="D213" s="106"/>
      <c r="E213" s="107"/>
      <c r="F213" s="108"/>
      <c r="G213" s="109"/>
      <c r="H213" s="110">
        <f t="shared" si="114"/>
        <v>0</v>
      </c>
      <c r="I213" s="177"/>
      <c r="J213" s="118" t="str">
        <f>IF(OR(D213="",F213=""),"",(((HLOOKUP(D213,'Carrières et points'!$A$20:$AD$60,F213+2,FALSE)*'Carrières et points'!$C$7*'Carrières et points'!$C$9)+(HLOOKUP(D213,'Carrières et points'!$A$20:$AD$60,F213+2,FALSE)*'Carrières et points'!$C$13*'Carrières et points'!$C$15))*(1+'F0 - Données générales'!$I$4)+((HLOOKUP(D213,'Carrières et points'!$A$20:$AD$60,F213+2,FALSE)*'Carrières et points'!$C$7*'Carrières et points'!$C$9)+(HLOOKUP(D213,'Carrières et points'!$A$20:$AD$60,F213+2,FALSE)*'Carrières et points'!$C$13*'Carrières et points'!$C$15))/12*(1+'F0 - Données générales'!$L$13))*E213)</f>
        <v/>
      </c>
      <c r="K213" s="118" t="str">
        <f t="shared" si="115"/>
        <v/>
      </c>
      <c r="L213" s="109"/>
      <c r="M213" s="177"/>
      <c r="N213" s="118" t="str">
        <f t="shared" si="116"/>
        <v/>
      </c>
      <c r="O213" s="177"/>
      <c r="P213" s="177"/>
      <c r="Q213" s="177"/>
      <c r="R213" s="255" t="str">
        <f t="shared" si="117"/>
        <v/>
      </c>
      <c r="S213" s="120"/>
      <c r="T213" s="120"/>
      <c r="U213" s="120"/>
      <c r="V213" s="120"/>
      <c r="W213" s="120"/>
      <c r="X213" s="120"/>
      <c r="Y213" s="120"/>
      <c r="Z213" s="120"/>
      <c r="AA213" s="120"/>
      <c r="AB213" s="120"/>
      <c r="AC213" s="120"/>
      <c r="AD213" s="120"/>
      <c r="AE213" s="120"/>
      <c r="AF213" s="120"/>
      <c r="AG213" s="120"/>
      <c r="AH213" s="120"/>
      <c r="AI213" s="120"/>
      <c r="AK213" s="120"/>
      <c r="AL213" s="120"/>
      <c r="AM213" s="120"/>
      <c r="AN213" s="120"/>
      <c r="AO213" s="120"/>
      <c r="AP213" s="120"/>
      <c r="AQ213" s="120"/>
      <c r="AR213" s="120"/>
      <c r="AS213" s="120"/>
      <c r="AT213" s="120"/>
      <c r="AU213" s="120"/>
      <c r="AV213" s="120"/>
      <c r="AW213" s="120"/>
      <c r="AX213" s="120"/>
      <c r="AY213" s="120"/>
      <c r="AZ213" s="120"/>
      <c r="BS213" s="14"/>
      <c r="BT213" s="14"/>
      <c r="BU213" s="14"/>
      <c r="BV213" s="14"/>
    </row>
    <row r="214" spans="1:74" ht="15" customHeight="1" x14ac:dyDescent="0.3">
      <c r="A214" s="106">
        <v>211</v>
      </c>
      <c r="B214" s="324">
        <f>'F0 - Données générales'!$C$4</f>
        <v>7</v>
      </c>
      <c r="C214" s="106" t="s">
        <v>95</v>
      </c>
      <c r="D214" s="106"/>
      <c r="E214" s="107"/>
      <c r="F214" s="108"/>
      <c r="G214" s="109"/>
      <c r="H214" s="110">
        <f t="shared" si="114"/>
        <v>0</v>
      </c>
      <c r="I214" s="177"/>
      <c r="J214" s="118" t="str">
        <f>IF(OR(D214="",F214=""),"",(((HLOOKUP(D214,'Carrières et points'!$A$20:$AD$60,F214+2,FALSE)*'Carrières et points'!$C$7*'Carrières et points'!$C$9)+(HLOOKUP(D214,'Carrières et points'!$A$20:$AD$60,F214+2,FALSE)*'Carrières et points'!$C$13*'Carrières et points'!$C$15))*(1+'F0 - Données générales'!$I$4)+((HLOOKUP(D214,'Carrières et points'!$A$20:$AD$60,F214+2,FALSE)*'Carrières et points'!$C$7*'Carrières et points'!$C$9)+(HLOOKUP(D214,'Carrières et points'!$A$20:$AD$60,F214+2,FALSE)*'Carrières et points'!$C$13*'Carrières et points'!$C$15))/12*(1+'F0 - Données générales'!$L$13))*E214)</f>
        <v/>
      </c>
      <c r="K214" s="118" t="str">
        <f t="shared" si="115"/>
        <v/>
      </c>
      <c r="L214" s="109"/>
      <c r="M214" s="177"/>
      <c r="N214" s="118" t="str">
        <f t="shared" si="116"/>
        <v/>
      </c>
      <c r="O214" s="177"/>
      <c r="P214" s="177"/>
      <c r="Q214" s="177"/>
      <c r="R214" s="255" t="str">
        <f t="shared" si="117"/>
        <v/>
      </c>
      <c r="S214" s="120"/>
      <c r="T214" s="120"/>
      <c r="U214" s="120"/>
      <c r="V214" s="120"/>
      <c r="W214" s="120"/>
      <c r="X214" s="120"/>
      <c r="Y214" s="120"/>
      <c r="Z214" s="120"/>
      <c r="AA214" s="120"/>
      <c r="AB214" s="120"/>
      <c r="AC214" s="120"/>
      <c r="AD214" s="120"/>
      <c r="AE214" s="120"/>
      <c r="AF214" s="120"/>
      <c r="AG214" s="120"/>
      <c r="AH214" s="120"/>
      <c r="AI214" s="120"/>
      <c r="AK214" s="120"/>
      <c r="AL214" s="120"/>
      <c r="AM214" s="120"/>
      <c r="AN214" s="120"/>
      <c r="AO214" s="120"/>
      <c r="AP214" s="120"/>
      <c r="AQ214" s="120"/>
      <c r="AR214" s="120"/>
      <c r="AS214" s="120"/>
      <c r="AT214" s="120"/>
      <c r="AU214" s="120"/>
      <c r="AV214" s="120"/>
      <c r="AW214" s="120"/>
      <c r="AX214" s="120"/>
      <c r="AY214" s="120"/>
      <c r="AZ214" s="120"/>
      <c r="BS214" s="14"/>
      <c r="BT214" s="14"/>
      <c r="BU214" s="14"/>
      <c r="BV214" s="14"/>
    </row>
    <row r="215" spans="1:74" ht="15" customHeight="1" x14ac:dyDescent="0.3">
      <c r="A215" s="106">
        <v>212</v>
      </c>
      <c r="B215" s="324">
        <f>'F0 - Données générales'!$C$4</f>
        <v>7</v>
      </c>
      <c r="C215" s="106" t="s">
        <v>95</v>
      </c>
      <c r="D215" s="106"/>
      <c r="E215" s="107"/>
      <c r="F215" s="108"/>
      <c r="G215" s="109"/>
      <c r="H215" s="110">
        <f t="shared" si="114"/>
        <v>0</v>
      </c>
      <c r="I215" s="177"/>
      <c r="J215" s="118" t="str">
        <f>IF(OR(D215="",F215=""),"",(((HLOOKUP(D215,'Carrières et points'!$A$20:$AD$60,F215+2,FALSE)*'Carrières et points'!$C$7*'Carrières et points'!$C$9)+(HLOOKUP(D215,'Carrières et points'!$A$20:$AD$60,F215+2,FALSE)*'Carrières et points'!$C$13*'Carrières et points'!$C$15))*(1+'F0 - Données générales'!$I$4)+((HLOOKUP(D215,'Carrières et points'!$A$20:$AD$60,F215+2,FALSE)*'Carrières et points'!$C$7*'Carrières et points'!$C$9)+(HLOOKUP(D215,'Carrières et points'!$A$20:$AD$60,F215+2,FALSE)*'Carrières et points'!$C$13*'Carrières et points'!$C$15))/12*(1+'F0 - Données générales'!$L$13))*E215)</f>
        <v/>
      </c>
      <c r="K215" s="118" t="str">
        <f t="shared" si="115"/>
        <v/>
      </c>
      <c r="L215" s="109"/>
      <c r="M215" s="177"/>
      <c r="N215" s="118" t="str">
        <f t="shared" si="116"/>
        <v/>
      </c>
      <c r="O215" s="177"/>
      <c r="P215" s="177"/>
      <c r="Q215" s="177"/>
      <c r="R215" s="255" t="str">
        <f t="shared" si="117"/>
        <v/>
      </c>
      <c r="S215" s="120"/>
      <c r="T215" s="120"/>
      <c r="U215" s="120"/>
      <c r="V215" s="120"/>
      <c r="W215" s="120"/>
      <c r="X215" s="120"/>
      <c r="Y215" s="120"/>
      <c r="Z215" s="120"/>
      <c r="AA215" s="120"/>
      <c r="AB215" s="120"/>
      <c r="AC215" s="120"/>
      <c r="AD215" s="120"/>
      <c r="AE215" s="120"/>
      <c r="AF215" s="120"/>
      <c r="AG215" s="120"/>
      <c r="AH215" s="120"/>
      <c r="AI215" s="120"/>
      <c r="AK215" s="120"/>
      <c r="AL215" s="120"/>
      <c r="AM215" s="120"/>
      <c r="AN215" s="120"/>
      <c r="AO215" s="120"/>
      <c r="AP215" s="120"/>
      <c r="AQ215" s="120"/>
      <c r="AR215" s="120"/>
      <c r="AS215" s="120"/>
      <c r="AT215" s="120"/>
      <c r="AU215" s="120"/>
      <c r="AV215" s="120"/>
      <c r="AW215" s="120"/>
      <c r="AX215" s="120"/>
      <c r="AY215" s="120"/>
      <c r="AZ215" s="120"/>
      <c r="BS215" s="14"/>
      <c r="BT215" s="14"/>
      <c r="BU215" s="14"/>
      <c r="BV215" s="132"/>
    </row>
    <row r="216" spans="1:74" ht="15" customHeight="1" x14ac:dyDescent="0.3">
      <c r="A216" s="106">
        <v>213</v>
      </c>
      <c r="B216" s="324">
        <f>'F0 - Données générales'!$C$4</f>
        <v>7</v>
      </c>
      <c r="C216" s="106" t="s">
        <v>95</v>
      </c>
      <c r="D216" s="106"/>
      <c r="E216" s="107"/>
      <c r="F216" s="108"/>
      <c r="G216" s="109"/>
      <c r="H216" s="110">
        <f t="shared" si="114"/>
        <v>0</v>
      </c>
      <c r="I216" s="177"/>
      <c r="J216" s="118" t="str">
        <f>IF(OR(D216="",F216=""),"",(((HLOOKUP(D216,'Carrières et points'!$A$20:$AD$60,F216+2,FALSE)*'Carrières et points'!$C$7*'Carrières et points'!$C$9)+(HLOOKUP(D216,'Carrières et points'!$A$20:$AD$60,F216+2,FALSE)*'Carrières et points'!$C$13*'Carrières et points'!$C$15))*(1+'F0 - Données générales'!$I$4)+((HLOOKUP(D216,'Carrières et points'!$A$20:$AD$60,F216+2,FALSE)*'Carrières et points'!$C$7*'Carrières et points'!$C$9)+(HLOOKUP(D216,'Carrières et points'!$A$20:$AD$60,F216+2,FALSE)*'Carrières et points'!$C$13*'Carrières et points'!$C$15))/12*(1+'F0 - Données générales'!$L$13))*E216)</f>
        <v/>
      </c>
      <c r="K216" s="118" t="str">
        <f t="shared" si="115"/>
        <v/>
      </c>
      <c r="L216" s="109"/>
      <c r="M216" s="177"/>
      <c r="N216" s="118" t="str">
        <f t="shared" si="116"/>
        <v/>
      </c>
      <c r="O216" s="177"/>
      <c r="P216" s="177"/>
      <c r="Q216" s="177"/>
      <c r="R216" s="255" t="str">
        <f t="shared" si="117"/>
        <v/>
      </c>
      <c r="S216" s="120"/>
      <c r="T216" s="120"/>
      <c r="U216" s="120"/>
      <c r="V216" s="120"/>
      <c r="W216" s="120"/>
      <c r="X216" s="120"/>
      <c r="Y216" s="120"/>
      <c r="Z216" s="120"/>
      <c r="AA216" s="120"/>
      <c r="AB216" s="120"/>
      <c r="AC216" s="120"/>
      <c r="AD216" s="120"/>
      <c r="AE216" s="120"/>
      <c r="AF216" s="120"/>
      <c r="AG216" s="120"/>
      <c r="AH216" s="120"/>
      <c r="AI216" s="120"/>
      <c r="AK216" s="120"/>
      <c r="AL216" s="120"/>
      <c r="AM216" s="120"/>
      <c r="AN216" s="120"/>
      <c r="AO216" s="120"/>
      <c r="AP216" s="120"/>
      <c r="AQ216" s="120"/>
      <c r="AR216" s="120"/>
      <c r="AS216" s="120"/>
      <c r="AT216" s="120"/>
      <c r="AU216" s="120"/>
      <c r="AV216" s="120"/>
      <c r="AW216" s="120"/>
      <c r="AX216" s="120"/>
      <c r="AY216" s="120"/>
      <c r="AZ216" s="120"/>
      <c r="BS216" s="14"/>
      <c r="BT216" s="14"/>
      <c r="BU216" s="14"/>
      <c r="BV216" s="14"/>
    </row>
    <row r="217" spans="1:74" ht="15" customHeight="1" x14ac:dyDescent="0.3">
      <c r="A217" s="106">
        <v>214</v>
      </c>
      <c r="B217" s="324">
        <f>'F0 - Données générales'!$C$4</f>
        <v>7</v>
      </c>
      <c r="C217" s="106" t="s">
        <v>95</v>
      </c>
      <c r="D217" s="106"/>
      <c r="E217" s="107"/>
      <c r="F217" s="108"/>
      <c r="G217" s="109"/>
      <c r="H217" s="110">
        <f t="shared" si="114"/>
        <v>0</v>
      </c>
      <c r="I217" s="177"/>
      <c r="J217" s="118" t="str">
        <f>IF(OR(D217="",F217=""),"",(((HLOOKUP(D217,'Carrières et points'!$A$20:$AD$60,F217+2,FALSE)*'Carrières et points'!$C$7*'Carrières et points'!$C$9)+(HLOOKUP(D217,'Carrières et points'!$A$20:$AD$60,F217+2,FALSE)*'Carrières et points'!$C$13*'Carrières et points'!$C$15))*(1+'F0 - Données générales'!$I$4)+((HLOOKUP(D217,'Carrières et points'!$A$20:$AD$60,F217+2,FALSE)*'Carrières et points'!$C$7*'Carrières et points'!$C$9)+(HLOOKUP(D217,'Carrières et points'!$A$20:$AD$60,F217+2,FALSE)*'Carrières et points'!$C$13*'Carrières et points'!$C$15))/12*(1+'F0 - Données générales'!$L$13))*E217)</f>
        <v/>
      </c>
      <c r="K217" s="118" t="str">
        <f t="shared" si="115"/>
        <v/>
      </c>
      <c r="L217" s="109"/>
      <c r="M217" s="177"/>
      <c r="N217" s="118" t="str">
        <f t="shared" si="116"/>
        <v/>
      </c>
      <c r="O217" s="177"/>
      <c r="P217" s="177"/>
      <c r="Q217" s="177"/>
      <c r="R217" s="255" t="str">
        <f t="shared" si="117"/>
        <v/>
      </c>
      <c r="S217" s="120"/>
      <c r="T217" s="120"/>
      <c r="U217" s="120"/>
      <c r="V217" s="120"/>
      <c r="W217" s="120"/>
      <c r="X217" s="120"/>
      <c r="Y217" s="120"/>
      <c r="Z217" s="120"/>
      <c r="AA217" s="120"/>
      <c r="AB217" s="120"/>
      <c r="AC217" s="120"/>
      <c r="AD217" s="120"/>
      <c r="AE217" s="120"/>
      <c r="AF217" s="120"/>
      <c r="AG217" s="120"/>
      <c r="AH217" s="120"/>
      <c r="AI217" s="120"/>
      <c r="AK217" s="120"/>
      <c r="AL217" s="120"/>
      <c r="AM217" s="120"/>
      <c r="AN217" s="120"/>
      <c r="AO217" s="120"/>
      <c r="AP217" s="120"/>
      <c r="AQ217" s="120"/>
      <c r="AR217" s="120"/>
      <c r="AS217" s="120"/>
      <c r="AT217" s="120"/>
      <c r="AU217" s="120"/>
      <c r="AV217" s="120"/>
      <c r="AW217" s="120"/>
      <c r="AX217" s="120"/>
      <c r="AY217" s="120"/>
      <c r="AZ217" s="120"/>
      <c r="BS217" s="14"/>
      <c r="BT217" s="14"/>
      <c r="BU217" s="14"/>
      <c r="BV217" s="132"/>
    </row>
    <row r="218" spans="1:74" ht="15" customHeight="1" x14ac:dyDescent="0.3">
      <c r="A218" s="106">
        <v>215</v>
      </c>
      <c r="B218" s="324">
        <f>'F0 - Données générales'!$C$4</f>
        <v>7</v>
      </c>
      <c r="C218" s="106" t="s">
        <v>95</v>
      </c>
      <c r="D218" s="106"/>
      <c r="E218" s="107"/>
      <c r="F218" s="108"/>
      <c r="G218" s="109"/>
      <c r="H218" s="110">
        <f t="shared" si="114"/>
        <v>0</v>
      </c>
      <c r="I218" s="177"/>
      <c r="J218" s="118" t="str">
        <f>IF(OR(D218="",F218=""),"",(((HLOOKUP(D218,'Carrières et points'!$A$20:$AD$60,F218+2,FALSE)*'Carrières et points'!$C$7*'Carrières et points'!$C$9)+(HLOOKUP(D218,'Carrières et points'!$A$20:$AD$60,F218+2,FALSE)*'Carrières et points'!$C$13*'Carrières et points'!$C$15))*(1+'F0 - Données générales'!$I$4)+((HLOOKUP(D218,'Carrières et points'!$A$20:$AD$60,F218+2,FALSE)*'Carrières et points'!$C$7*'Carrières et points'!$C$9)+(HLOOKUP(D218,'Carrières et points'!$A$20:$AD$60,F218+2,FALSE)*'Carrières et points'!$C$13*'Carrières et points'!$C$15))/12*(1+'F0 - Données générales'!$L$13))*E218)</f>
        <v/>
      </c>
      <c r="K218" s="118" t="str">
        <f t="shared" si="115"/>
        <v/>
      </c>
      <c r="L218" s="109"/>
      <c r="M218" s="177"/>
      <c r="N218" s="118" t="str">
        <f t="shared" si="116"/>
        <v/>
      </c>
      <c r="O218" s="177"/>
      <c r="P218" s="177"/>
      <c r="Q218" s="177"/>
      <c r="R218" s="255" t="str">
        <f t="shared" si="117"/>
        <v/>
      </c>
      <c r="S218" s="120"/>
      <c r="T218" s="120"/>
      <c r="U218" s="120"/>
      <c r="V218" s="120"/>
      <c r="W218" s="120"/>
      <c r="X218" s="120"/>
      <c r="Y218" s="120"/>
      <c r="Z218" s="120"/>
      <c r="AA218" s="120"/>
      <c r="AB218" s="120"/>
      <c r="AC218" s="120"/>
      <c r="AD218" s="120"/>
      <c r="AE218" s="120"/>
      <c r="AF218" s="120"/>
      <c r="AG218" s="120"/>
      <c r="AH218" s="120"/>
      <c r="AI218" s="120"/>
      <c r="AK218" s="120"/>
      <c r="AL218" s="120"/>
      <c r="AM218" s="120"/>
      <c r="AN218" s="120"/>
      <c r="AO218" s="120"/>
      <c r="AP218" s="120"/>
      <c r="AQ218" s="120"/>
      <c r="AR218" s="120"/>
      <c r="AS218" s="120"/>
      <c r="AT218" s="120"/>
      <c r="AU218" s="120"/>
      <c r="AV218" s="120"/>
      <c r="AW218" s="120"/>
      <c r="AX218" s="120"/>
      <c r="AY218" s="120"/>
      <c r="AZ218" s="120"/>
      <c r="BS218" s="14"/>
      <c r="BT218" s="14"/>
      <c r="BU218" s="14"/>
      <c r="BV218" s="14"/>
    </row>
    <row r="219" spans="1:74" ht="15" customHeight="1" x14ac:dyDescent="0.3">
      <c r="A219" s="106">
        <v>216</v>
      </c>
      <c r="B219" s="324">
        <f>'F0 - Données générales'!$C$4</f>
        <v>7</v>
      </c>
      <c r="C219" s="106" t="s">
        <v>95</v>
      </c>
      <c r="D219" s="106"/>
      <c r="E219" s="107"/>
      <c r="F219" s="108"/>
      <c r="G219" s="109"/>
      <c r="H219" s="110">
        <f t="shared" si="114"/>
        <v>0</v>
      </c>
      <c r="I219" s="177"/>
      <c r="J219" s="118" t="str">
        <f>IF(OR(D219="",F219=""),"",(((HLOOKUP(D219,'Carrières et points'!$A$20:$AD$60,F219+2,FALSE)*'Carrières et points'!$C$7*'Carrières et points'!$C$9)+(HLOOKUP(D219,'Carrières et points'!$A$20:$AD$60,F219+2,FALSE)*'Carrières et points'!$C$13*'Carrières et points'!$C$15))*(1+'F0 - Données générales'!$I$4)+((HLOOKUP(D219,'Carrières et points'!$A$20:$AD$60,F219+2,FALSE)*'Carrières et points'!$C$7*'Carrières et points'!$C$9)+(HLOOKUP(D219,'Carrières et points'!$A$20:$AD$60,F219+2,FALSE)*'Carrières et points'!$C$13*'Carrières et points'!$C$15))/12*(1+'F0 - Données générales'!$L$13))*E219)</f>
        <v/>
      </c>
      <c r="K219" s="118" t="str">
        <f t="shared" si="115"/>
        <v/>
      </c>
      <c r="L219" s="109"/>
      <c r="M219" s="177"/>
      <c r="N219" s="118" t="str">
        <f t="shared" si="116"/>
        <v/>
      </c>
      <c r="O219" s="177"/>
      <c r="P219" s="177"/>
      <c r="Q219" s="177"/>
      <c r="R219" s="255" t="str">
        <f t="shared" si="117"/>
        <v/>
      </c>
      <c r="S219" s="120"/>
      <c r="T219" s="120"/>
      <c r="U219" s="120"/>
      <c r="V219" s="120"/>
      <c r="W219" s="120"/>
      <c r="X219" s="120"/>
      <c r="Y219" s="120"/>
      <c r="Z219" s="120"/>
      <c r="AA219" s="120"/>
      <c r="AB219" s="120"/>
      <c r="AC219" s="120"/>
      <c r="AD219" s="120"/>
      <c r="AE219" s="120"/>
      <c r="AF219" s="120"/>
      <c r="AG219" s="120"/>
      <c r="AH219" s="120"/>
      <c r="AI219" s="120"/>
      <c r="AK219" s="120"/>
      <c r="AL219" s="120"/>
      <c r="AM219" s="120"/>
      <c r="AN219" s="120"/>
      <c r="AO219" s="120"/>
      <c r="AP219" s="120"/>
      <c r="AQ219" s="120"/>
      <c r="AR219" s="120"/>
      <c r="AS219" s="120"/>
      <c r="AT219" s="120"/>
      <c r="AU219" s="120"/>
      <c r="AV219" s="120"/>
      <c r="AW219" s="120"/>
      <c r="AX219" s="120"/>
      <c r="AY219" s="120"/>
      <c r="AZ219" s="120"/>
      <c r="BS219" s="14"/>
      <c r="BT219" s="14"/>
      <c r="BU219" s="14"/>
    </row>
    <row r="220" spans="1:74" ht="15" customHeight="1" x14ac:dyDescent="0.3">
      <c r="A220" s="106">
        <v>217</v>
      </c>
      <c r="B220" s="324">
        <f>'F0 - Données générales'!$C$4</f>
        <v>7</v>
      </c>
      <c r="C220" s="106" t="s">
        <v>95</v>
      </c>
      <c r="D220" s="106"/>
      <c r="E220" s="107"/>
      <c r="F220" s="108"/>
      <c r="G220" s="109"/>
      <c r="H220" s="110">
        <f t="shared" si="114"/>
        <v>0</v>
      </c>
      <c r="I220" s="177"/>
      <c r="J220" s="118" t="str">
        <f>IF(OR(D220="",F220=""),"",(((HLOOKUP(D220,'Carrières et points'!$A$20:$AD$60,F220+2,FALSE)*'Carrières et points'!$C$7*'Carrières et points'!$C$9)+(HLOOKUP(D220,'Carrières et points'!$A$20:$AD$60,F220+2,FALSE)*'Carrières et points'!$C$13*'Carrières et points'!$C$15))*(1+'F0 - Données générales'!$I$4)+((HLOOKUP(D220,'Carrières et points'!$A$20:$AD$60,F220+2,FALSE)*'Carrières et points'!$C$7*'Carrières et points'!$C$9)+(HLOOKUP(D220,'Carrières et points'!$A$20:$AD$60,F220+2,FALSE)*'Carrières et points'!$C$13*'Carrières et points'!$C$15))/12*(1+'F0 - Données générales'!$L$13))*E220)</f>
        <v/>
      </c>
      <c r="K220" s="118" t="str">
        <f t="shared" si="115"/>
        <v/>
      </c>
      <c r="L220" s="109"/>
      <c r="M220" s="177"/>
      <c r="N220" s="118" t="str">
        <f t="shared" si="116"/>
        <v/>
      </c>
      <c r="O220" s="177"/>
      <c r="P220" s="177"/>
      <c r="Q220" s="177"/>
      <c r="R220" s="255" t="str">
        <f t="shared" si="117"/>
        <v/>
      </c>
      <c r="S220" s="120"/>
      <c r="T220" s="120"/>
      <c r="U220" s="120"/>
      <c r="V220" s="120"/>
      <c r="W220" s="120"/>
      <c r="X220" s="120"/>
      <c r="Y220" s="120"/>
      <c r="Z220" s="120"/>
      <c r="AA220" s="120"/>
      <c r="AB220" s="120"/>
      <c r="AC220" s="120"/>
      <c r="AD220" s="120"/>
      <c r="AE220" s="120"/>
      <c r="AF220" s="120"/>
      <c r="AG220" s="120"/>
      <c r="AH220" s="120"/>
      <c r="AI220" s="120"/>
      <c r="AK220" s="120"/>
      <c r="AL220" s="120"/>
      <c r="AM220" s="120"/>
      <c r="AN220" s="120"/>
      <c r="AO220" s="120"/>
      <c r="AP220" s="120"/>
      <c r="AQ220" s="120"/>
      <c r="AR220" s="120"/>
      <c r="AS220" s="120"/>
      <c r="AT220" s="120"/>
      <c r="AU220" s="120"/>
      <c r="AV220" s="120"/>
      <c r="AW220" s="120"/>
      <c r="AX220" s="120"/>
      <c r="AY220" s="120"/>
      <c r="AZ220" s="120"/>
      <c r="BS220" s="14"/>
      <c r="BT220" s="14"/>
      <c r="BU220" s="14"/>
      <c r="BV220" s="14"/>
    </row>
    <row r="221" spans="1:74" ht="15" customHeight="1" x14ac:dyDescent="0.3">
      <c r="A221" s="106">
        <v>218</v>
      </c>
      <c r="B221" s="324">
        <f>'F0 - Données générales'!$C$4</f>
        <v>7</v>
      </c>
      <c r="C221" s="106" t="s">
        <v>95</v>
      </c>
      <c r="D221" s="106"/>
      <c r="E221" s="107"/>
      <c r="F221" s="108"/>
      <c r="G221" s="109"/>
      <c r="H221" s="110">
        <f t="shared" si="114"/>
        <v>0</v>
      </c>
      <c r="I221" s="177"/>
      <c r="J221" s="118" t="str">
        <f>IF(OR(D221="",F221=""),"",(((HLOOKUP(D221,'Carrières et points'!$A$20:$AD$60,F221+2,FALSE)*'Carrières et points'!$C$7*'Carrières et points'!$C$9)+(HLOOKUP(D221,'Carrières et points'!$A$20:$AD$60,F221+2,FALSE)*'Carrières et points'!$C$13*'Carrières et points'!$C$15))*(1+'F0 - Données générales'!$I$4)+((HLOOKUP(D221,'Carrières et points'!$A$20:$AD$60,F221+2,FALSE)*'Carrières et points'!$C$7*'Carrières et points'!$C$9)+(HLOOKUP(D221,'Carrières et points'!$A$20:$AD$60,F221+2,FALSE)*'Carrières et points'!$C$13*'Carrières et points'!$C$15))/12*(1+'F0 - Données générales'!$L$13))*E221)</f>
        <v/>
      </c>
      <c r="K221" s="118" t="str">
        <f t="shared" si="115"/>
        <v/>
      </c>
      <c r="L221" s="109"/>
      <c r="M221" s="177"/>
      <c r="N221" s="118" t="str">
        <f t="shared" si="116"/>
        <v/>
      </c>
      <c r="O221" s="177"/>
      <c r="P221" s="177"/>
      <c r="Q221" s="177"/>
      <c r="R221" s="255" t="str">
        <f t="shared" si="117"/>
        <v/>
      </c>
      <c r="S221" s="120"/>
      <c r="T221" s="120"/>
      <c r="U221" s="120"/>
      <c r="V221" s="120"/>
      <c r="W221" s="120"/>
      <c r="X221" s="120"/>
      <c r="Y221" s="120"/>
      <c r="Z221" s="120"/>
      <c r="AA221" s="120"/>
      <c r="AB221" s="120"/>
      <c r="AC221" s="120"/>
      <c r="AD221" s="120"/>
      <c r="AE221" s="120"/>
      <c r="AF221" s="120"/>
      <c r="AG221" s="120"/>
      <c r="AH221" s="120"/>
      <c r="AI221" s="120"/>
      <c r="AK221" s="120"/>
      <c r="AL221" s="120"/>
      <c r="AM221" s="120"/>
      <c r="AN221" s="120"/>
      <c r="AO221" s="120"/>
      <c r="AP221" s="120"/>
      <c r="AQ221" s="120"/>
      <c r="AR221" s="120"/>
      <c r="AS221" s="120"/>
      <c r="AT221" s="120"/>
      <c r="AU221" s="120"/>
      <c r="AV221" s="120"/>
      <c r="AW221" s="120"/>
      <c r="AX221" s="120"/>
      <c r="AY221" s="120"/>
      <c r="AZ221" s="120"/>
      <c r="BS221" s="14"/>
      <c r="BT221" s="14"/>
      <c r="BU221" s="14"/>
      <c r="BV221" s="14"/>
    </row>
    <row r="222" spans="1:74" ht="15" customHeight="1" x14ac:dyDescent="0.3">
      <c r="A222" s="106">
        <v>219</v>
      </c>
      <c r="B222" s="324">
        <f>'F0 - Données générales'!$C$4</f>
        <v>7</v>
      </c>
      <c r="C222" s="106" t="s">
        <v>95</v>
      </c>
      <c r="D222" s="106"/>
      <c r="E222" s="107"/>
      <c r="F222" s="108"/>
      <c r="G222" s="109"/>
      <c r="H222" s="110">
        <f t="shared" si="114"/>
        <v>0</v>
      </c>
      <c r="I222" s="177"/>
      <c r="J222" s="118" t="str">
        <f>IF(OR(D222="",F222=""),"",(((HLOOKUP(D222,'Carrières et points'!$A$20:$AD$60,F222+2,FALSE)*'Carrières et points'!$C$7*'Carrières et points'!$C$9)+(HLOOKUP(D222,'Carrières et points'!$A$20:$AD$60,F222+2,FALSE)*'Carrières et points'!$C$13*'Carrières et points'!$C$15))*(1+'F0 - Données générales'!$I$4)+((HLOOKUP(D222,'Carrières et points'!$A$20:$AD$60,F222+2,FALSE)*'Carrières et points'!$C$7*'Carrières et points'!$C$9)+(HLOOKUP(D222,'Carrières et points'!$A$20:$AD$60,F222+2,FALSE)*'Carrières et points'!$C$13*'Carrières et points'!$C$15))/12*(1+'F0 - Données générales'!$L$13))*E222)</f>
        <v/>
      </c>
      <c r="K222" s="118" t="str">
        <f t="shared" si="115"/>
        <v/>
      </c>
      <c r="L222" s="109"/>
      <c r="M222" s="177"/>
      <c r="N222" s="118" t="str">
        <f t="shared" si="116"/>
        <v/>
      </c>
      <c r="O222" s="177"/>
      <c r="P222" s="177"/>
      <c r="Q222" s="177"/>
      <c r="R222" s="255" t="str">
        <f t="shared" si="117"/>
        <v/>
      </c>
      <c r="S222" s="120"/>
      <c r="T222" s="120"/>
      <c r="U222" s="120"/>
      <c r="V222" s="120"/>
      <c r="W222" s="120"/>
      <c r="X222" s="120"/>
      <c r="Y222" s="120"/>
      <c r="Z222" s="120"/>
      <c r="AA222" s="120"/>
      <c r="AB222" s="120"/>
      <c r="AC222" s="120"/>
      <c r="AD222" s="120"/>
      <c r="AE222" s="120"/>
      <c r="AF222" s="120"/>
      <c r="AG222" s="120"/>
      <c r="AH222" s="120"/>
      <c r="AI222" s="120"/>
      <c r="AK222" s="120"/>
      <c r="AL222" s="120"/>
      <c r="AM222" s="120"/>
      <c r="AN222" s="120"/>
      <c r="AO222" s="120"/>
      <c r="AP222" s="120"/>
      <c r="AQ222" s="120"/>
      <c r="AR222" s="120"/>
      <c r="AS222" s="120"/>
      <c r="AT222" s="120"/>
      <c r="AU222" s="120"/>
      <c r="AV222" s="120"/>
      <c r="AW222" s="120"/>
      <c r="AX222" s="120"/>
      <c r="AY222" s="120"/>
      <c r="AZ222" s="120"/>
      <c r="BS222" s="14"/>
      <c r="BT222" s="14"/>
      <c r="BU222" s="14"/>
      <c r="BV222" s="14"/>
    </row>
    <row r="223" spans="1:74" ht="15" customHeight="1" x14ac:dyDescent="0.3">
      <c r="A223" s="106">
        <v>220</v>
      </c>
      <c r="B223" s="324">
        <f>'F0 - Données générales'!$C$4</f>
        <v>7</v>
      </c>
      <c r="C223" s="106" t="s">
        <v>95</v>
      </c>
      <c r="D223" s="106"/>
      <c r="E223" s="107"/>
      <c r="F223" s="108"/>
      <c r="G223" s="109"/>
      <c r="H223" s="110">
        <f t="shared" si="114"/>
        <v>0</v>
      </c>
      <c r="I223" s="177"/>
      <c r="J223" s="118" t="str">
        <f>IF(OR(D223="",F223=""),"",(((HLOOKUP(D223,'Carrières et points'!$A$20:$AD$60,F223+2,FALSE)*'Carrières et points'!$C$7*'Carrières et points'!$C$9)+(HLOOKUP(D223,'Carrières et points'!$A$20:$AD$60,F223+2,FALSE)*'Carrières et points'!$C$13*'Carrières et points'!$C$15))*(1+'F0 - Données générales'!$I$4)+((HLOOKUP(D223,'Carrières et points'!$A$20:$AD$60,F223+2,FALSE)*'Carrières et points'!$C$7*'Carrières et points'!$C$9)+(HLOOKUP(D223,'Carrières et points'!$A$20:$AD$60,F223+2,FALSE)*'Carrières et points'!$C$13*'Carrières et points'!$C$15))/12*(1+'F0 - Données générales'!$L$13))*E223)</f>
        <v/>
      </c>
      <c r="K223" s="118" t="str">
        <f t="shared" si="115"/>
        <v/>
      </c>
      <c r="L223" s="109"/>
      <c r="M223" s="177"/>
      <c r="N223" s="118" t="str">
        <f t="shared" si="116"/>
        <v/>
      </c>
      <c r="O223" s="177"/>
      <c r="P223" s="177"/>
      <c r="Q223" s="177"/>
      <c r="R223" s="255" t="str">
        <f t="shared" si="117"/>
        <v/>
      </c>
      <c r="S223" s="120"/>
      <c r="T223" s="120"/>
      <c r="U223" s="120"/>
      <c r="V223" s="120"/>
      <c r="W223" s="120"/>
      <c r="X223" s="120"/>
      <c r="Y223" s="120"/>
      <c r="Z223" s="120"/>
      <c r="AA223" s="120"/>
      <c r="AB223" s="120"/>
      <c r="AC223" s="120"/>
      <c r="AD223" s="120"/>
      <c r="AE223" s="120"/>
      <c r="AF223" s="120"/>
      <c r="AG223" s="120"/>
      <c r="AH223" s="120"/>
      <c r="AI223" s="120"/>
      <c r="AK223" s="120"/>
      <c r="AL223" s="120"/>
      <c r="AM223" s="120"/>
      <c r="AN223" s="120"/>
      <c r="AO223" s="120"/>
      <c r="AP223" s="120"/>
      <c r="AQ223" s="120"/>
      <c r="AR223" s="120"/>
      <c r="AS223" s="120"/>
      <c r="AT223" s="120"/>
      <c r="AU223" s="120"/>
      <c r="AV223" s="120"/>
      <c r="AW223" s="120"/>
      <c r="AX223" s="120"/>
      <c r="AY223" s="120"/>
      <c r="AZ223" s="120"/>
      <c r="BS223" s="14"/>
      <c r="BT223" s="14"/>
      <c r="BU223" s="132"/>
      <c r="BV223" s="14"/>
    </row>
    <row r="224" spans="1:74" ht="15" customHeight="1" x14ac:dyDescent="0.3">
      <c r="A224" s="106">
        <v>221</v>
      </c>
      <c r="B224" s="324">
        <f>'F0 - Données générales'!$C$4</f>
        <v>7</v>
      </c>
      <c r="C224" s="106" t="s">
        <v>95</v>
      </c>
      <c r="D224" s="106"/>
      <c r="E224" s="107"/>
      <c r="F224" s="108"/>
      <c r="G224" s="109"/>
      <c r="H224" s="110">
        <f t="shared" si="114"/>
        <v>0</v>
      </c>
      <c r="I224" s="177"/>
      <c r="J224" s="118" t="str">
        <f>IF(OR(D224="",F224=""),"",(((HLOOKUP(D224,'Carrières et points'!$A$20:$AD$60,F224+2,FALSE)*'Carrières et points'!$C$7*'Carrières et points'!$C$9)+(HLOOKUP(D224,'Carrières et points'!$A$20:$AD$60,F224+2,FALSE)*'Carrières et points'!$C$13*'Carrières et points'!$C$15))*(1+'F0 - Données générales'!$I$4)+((HLOOKUP(D224,'Carrières et points'!$A$20:$AD$60,F224+2,FALSE)*'Carrières et points'!$C$7*'Carrières et points'!$C$9)+(HLOOKUP(D224,'Carrières et points'!$A$20:$AD$60,F224+2,FALSE)*'Carrières et points'!$C$13*'Carrières et points'!$C$15))/12*(1+'F0 - Données générales'!$L$13))*E224)</f>
        <v/>
      </c>
      <c r="K224" s="118" t="str">
        <f t="shared" si="115"/>
        <v/>
      </c>
      <c r="L224" s="109"/>
      <c r="M224" s="177"/>
      <c r="N224" s="118" t="str">
        <f t="shared" si="116"/>
        <v/>
      </c>
      <c r="O224" s="177"/>
      <c r="P224" s="177"/>
      <c r="Q224" s="177"/>
      <c r="R224" s="255" t="str">
        <f t="shared" si="117"/>
        <v/>
      </c>
      <c r="S224" s="120"/>
      <c r="T224" s="120"/>
      <c r="U224" s="120"/>
      <c r="V224" s="120"/>
      <c r="W224" s="120"/>
      <c r="X224" s="120"/>
      <c r="Y224" s="120"/>
      <c r="Z224" s="120"/>
      <c r="AA224" s="120"/>
      <c r="AB224" s="120"/>
      <c r="AC224" s="120"/>
      <c r="AD224" s="120"/>
      <c r="AE224" s="120"/>
      <c r="AF224" s="120"/>
      <c r="AG224" s="120"/>
      <c r="AH224" s="120"/>
      <c r="AI224" s="120"/>
      <c r="AK224" s="120"/>
      <c r="AL224" s="120"/>
      <c r="AM224" s="120"/>
      <c r="AN224" s="120"/>
      <c r="AO224" s="120"/>
      <c r="AP224" s="120"/>
      <c r="AQ224" s="120"/>
      <c r="AR224" s="120"/>
      <c r="AS224" s="120"/>
      <c r="AT224" s="120"/>
      <c r="AU224" s="120"/>
      <c r="AV224" s="120"/>
      <c r="AW224" s="120"/>
      <c r="AX224" s="120"/>
      <c r="AY224" s="120"/>
      <c r="AZ224" s="120"/>
      <c r="BS224" s="132"/>
      <c r="BT224" s="132"/>
      <c r="BU224" s="14"/>
      <c r="BV224" s="14"/>
    </row>
    <row r="225" spans="1:74" ht="15" customHeight="1" x14ac:dyDescent="0.3">
      <c r="A225" s="106">
        <v>222</v>
      </c>
      <c r="B225" s="324">
        <f>'F0 - Données générales'!$C$4</f>
        <v>7</v>
      </c>
      <c r="C225" s="106" t="s">
        <v>95</v>
      </c>
      <c r="D225" s="106"/>
      <c r="E225" s="107"/>
      <c r="F225" s="108"/>
      <c r="G225" s="109"/>
      <c r="H225" s="110">
        <f t="shared" si="114"/>
        <v>0</v>
      </c>
      <c r="I225" s="177"/>
      <c r="J225" s="118" t="str">
        <f>IF(OR(D225="",F225=""),"",(((HLOOKUP(D225,'Carrières et points'!$A$20:$AD$60,F225+2,FALSE)*'Carrières et points'!$C$7*'Carrières et points'!$C$9)+(HLOOKUP(D225,'Carrières et points'!$A$20:$AD$60,F225+2,FALSE)*'Carrières et points'!$C$13*'Carrières et points'!$C$15))*(1+'F0 - Données générales'!$I$4)+((HLOOKUP(D225,'Carrières et points'!$A$20:$AD$60,F225+2,FALSE)*'Carrières et points'!$C$7*'Carrières et points'!$C$9)+(HLOOKUP(D225,'Carrières et points'!$A$20:$AD$60,F225+2,FALSE)*'Carrières et points'!$C$13*'Carrières et points'!$C$15))/12*(1+'F0 - Données générales'!$L$13))*E225)</f>
        <v/>
      </c>
      <c r="K225" s="118" t="str">
        <f t="shared" si="115"/>
        <v/>
      </c>
      <c r="L225" s="109"/>
      <c r="M225" s="177"/>
      <c r="N225" s="118" t="str">
        <f t="shared" si="116"/>
        <v/>
      </c>
      <c r="O225" s="177"/>
      <c r="P225" s="177"/>
      <c r="Q225" s="177"/>
      <c r="R225" s="255" t="str">
        <f t="shared" si="117"/>
        <v/>
      </c>
      <c r="S225" s="120"/>
      <c r="T225" s="120"/>
      <c r="U225" s="120"/>
      <c r="V225" s="120"/>
      <c r="W225" s="120"/>
      <c r="X225" s="120"/>
      <c r="Y225" s="120"/>
      <c r="Z225" s="120"/>
      <c r="AA225" s="120"/>
      <c r="AB225" s="120"/>
      <c r="AC225" s="120"/>
      <c r="AD225" s="120"/>
      <c r="AE225" s="120"/>
      <c r="AF225" s="120"/>
      <c r="AG225" s="120"/>
      <c r="AH225" s="120"/>
      <c r="AI225" s="120"/>
      <c r="AK225" s="120"/>
      <c r="AL225" s="120"/>
      <c r="AM225" s="120"/>
      <c r="AN225" s="120"/>
      <c r="AO225" s="120"/>
      <c r="AP225" s="120"/>
      <c r="AQ225" s="120"/>
      <c r="AR225" s="120"/>
      <c r="AS225" s="120"/>
      <c r="AT225" s="120"/>
      <c r="AU225" s="120"/>
      <c r="AV225" s="120"/>
      <c r="AW225" s="120"/>
      <c r="AX225" s="120"/>
      <c r="AY225" s="120"/>
      <c r="AZ225" s="120"/>
      <c r="BS225" s="14"/>
      <c r="BT225" s="14"/>
      <c r="BU225" s="132"/>
      <c r="BV225" s="14"/>
    </row>
    <row r="226" spans="1:74" ht="15" customHeight="1" x14ac:dyDescent="0.3">
      <c r="A226" s="106">
        <v>223</v>
      </c>
      <c r="B226" s="324">
        <f>'F0 - Données générales'!$C$4</f>
        <v>7</v>
      </c>
      <c r="C226" s="106" t="s">
        <v>95</v>
      </c>
      <c r="D226" s="106"/>
      <c r="E226" s="107"/>
      <c r="F226" s="108"/>
      <c r="G226" s="109"/>
      <c r="H226" s="110">
        <f t="shared" si="114"/>
        <v>0</v>
      </c>
      <c r="I226" s="177"/>
      <c r="J226" s="118" t="str">
        <f>IF(OR(D226="",F226=""),"",(((HLOOKUP(D226,'Carrières et points'!$A$20:$AD$60,F226+2,FALSE)*'Carrières et points'!$C$7*'Carrières et points'!$C$9)+(HLOOKUP(D226,'Carrières et points'!$A$20:$AD$60,F226+2,FALSE)*'Carrières et points'!$C$13*'Carrières et points'!$C$15))*(1+'F0 - Données générales'!$I$4)+((HLOOKUP(D226,'Carrières et points'!$A$20:$AD$60,F226+2,FALSE)*'Carrières et points'!$C$7*'Carrières et points'!$C$9)+(HLOOKUP(D226,'Carrières et points'!$A$20:$AD$60,F226+2,FALSE)*'Carrières et points'!$C$13*'Carrières et points'!$C$15))/12*(1+'F0 - Données générales'!$L$13))*E226)</f>
        <v/>
      </c>
      <c r="K226" s="118" t="str">
        <f t="shared" si="115"/>
        <v/>
      </c>
      <c r="L226" s="109"/>
      <c r="M226" s="177"/>
      <c r="N226" s="118" t="str">
        <f t="shared" si="116"/>
        <v/>
      </c>
      <c r="O226" s="177"/>
      <c r="P226" s="177"/>
      <c r="Q226" s="177"/>
      <c r="R226" s="255" t="str">
        <f t="shared" si="117"/>
        <v/>
      </c>
      <c r="S226" s="120"/>
      <c r="T226" s="120"/>
      <c r="U226" s="120"/>
      <c r="V226" s="120"/>
      <c r="W226" s="120"/>
      <c r="X226" s="120"/>
      <c r="Y226" s="120"/>
      <c r="Z226" s="120"/>
      <c r="AA226" s="120"/>
      <c r="AB226" s="120"/>
      <c r="AC226" s="120"/>
      <c r="AD226" s="120"/>
      <c r="AE226" s="120"/>
      <c r="AF226" s="120"/>
      <c r="AG226" s="120"/>
      <c r="AH226" s="120"/>
      <c r="AI226" s="120"/>
      <c r="AK226" s="120"/>
      <c r="AL226" s="120"/>
      <c r="AM226" s="120"/>
      <c r="AN226" s="120"/>
      <c r="AO226" s="120"/>
      <c r="AP226" s="120"/>
      <c r="AQ226" s="120"/>
      <c r="AR226" s="120"/>
      <c r="AS226" s="120"/>
      <c r="AT226" s="120"/>
      <c r="AU226" s="120"/>
      <c r="AV226" s="120"/>
      <c r="AW226" s="120"/>
      <c r="AX226" s="120"/>
      <c r="AY226" s="120"/>
      <c r="AZ226" s="120"/>
      <c r="BS226" s="132"/>
      <c r="BT226" s="132"/>
      <c r="BU226" s="14"/>
      <c r="BV226" s="14"/>
    </row>
    <row r="227" spans="1:74" ht="15" customHeight="1" x14ac:dyDescent="0.3">
      <c r="A227" s="106">
        <v>224</v>
      </c>
      <c r="B227" s="324">
        <f>'F0 - Données générales'!$C$4</f>
        <v>7</v>
      </c>
      <c r="C227" s="106" t="s">
        <v>95</v>
      </c>
      <c r="D227" s="106"/>
      <c r="E227" s="107"/>
      <c r="F227" s="108"/>
      <c r="G227" s="109"/>
      <c r="H227" s="110">
        <f t="shared" si="114"/>
        <v>0</v>
      </c>
      <c r="I227" s="177"/>
      <c r="J227" s="118" t="str">
        <f>IF(OR(D227="",F227=""),"",(((HLOOKUP(D227,'Carrières et points'!$A$20:$AD$60,F227+2,FALSE)*'Carrières et points'!$C$7*'Carrières et points'!$C$9)+(HLOOKUP(D227,'Carrières et points'!$A$20:$AD$60,F227+2,FALSE)*'Carrières et points'!$C$13*'Carrières et points'!$C$15))*(1+'F0 - Données générales'!$I$4)+((HLOOKUP(D227,'Carrières et points'!$A$20:$AD$60,F227+2,FALSE)*'Carrières et points'!$C$7*'Carrières et points'!$C$9)+(HLOOKUP(D227,'Carrières et points'!$A$20:$AD$60,F227+2,FALSE)*'Carrières et points'!$C$13*'Carrières et points'!$C$15))/12*(1+'F0 - Données générales'!$L$13))*E227)</f>
        <v/>
      </c>
      <c r="K227" s="118" t="str">
        <f t="shared" si="115"/>
        <v/>
      </c>
      <c r="L227" s="109"/>
      <c r="M227" s="177"/>
      <c r="N227" s="118" t="str">
        <f t="shared" si="116"/>
        <v/>
      </c>
      <c r="O227" s="177"/>
      <c r="P227" s="177"/>
      <c r="Q227" s="177"/>
      <c r="R227" s="255" t="str">
        <f t="shared" si="117"/>
        <v/>
      </c>
      <c r="S227" s="120"/>
      <c r="T227" s="120"/>
      <c r="U227" s="120"/>
      <c r="V227" s="120"/>
      <c r="W227" s="120"/>
      <c r="X227" s="120"/>
      <c r="Y227" s="120"/>
      <c r="Z227" s="120"/>
      <c r="AA227" s="120"/>
      <c r="AB227" s="120"/>
      <c r="AC227" s="120"/>
      <c r="AD227" s="120"/>
      <c r="AE227" s="120"/>
      <c r="AF227" s="120"/>
      <c r="AG227" s="120"/>
      <c r="AH227" s="120"/>
      <c r="AI227" s="120"/>
      <c r="AK227" s="120"/>
      <c r="AL227" s="120"/>
      <c r="AM227" s="120"/>
      <c r="AN227" s="120"/>
      <c r="AO227" s="120"/>
      <c r="AP227" s="120"/>
      <c r="AQ227" s="120"/>
      <c r="AR227" s="120"/>
      <c r="AS227" s="120"/>
      <c r="AT227" s="120"/>
      <c r="AU227" s="120"/>
      <c r="AV227" s="120"/>
      <c r="AW227" s="120"/>
      <c r="AX227" s="120"/>
      <c r="AY227" s="120"/>
      <c r="AZ227" s="120"/>
      <c r="BS227" s="14"/>
      <c r="BT227" s="14"/>
      <c r="BV227" s="14"/>
    </row>
    <row r="228" spans="1:74" ht="15" customHeight="1" x14ac:dyDescent="0.3">
      <c r="A228" s="106">
        <v>225</v>
      </c>
      <c r="B228" s="324">
        <f>'F0 - Données générales'!$C$4</f>
        <v>7</v>
      </c>
      <c r="C228" s="106" t="s">
        <v>95</v>
      </c>
      <c r="D228" s="106"/>
      <c r="E228" s="107"/>
      <c r="F228" s="108"/>
      <c r="G228" s="109"/>
      <c r="H228" s="110">
        <f t="shared" si="114"/>
        <v>0</v>
      </c>
      <c r="I228" s="177"/>
      <c r="J228" s="118" t="str">
        <f>IF(OR(D228="",F228=""),"",(((HLOOKUP(D228,'Carrières et points'!$A$20:$AD$60,F228+2,FALSE)*'Carrières et points'!$C$7*'Carrières et points'!$C$9)+(HLOOKUP(D228,'Carrières et points'!$A$20:$AD$60,F228+2,FALSE)*'Carrières et points'!$C$13*'Carrières et points'!$C$15))*(1+'F0 - Données générales'!$I$4)+((HLOOKUP(D228,'Carrières et points'!$A$20:$AD$60,F228+2,FALSE)*'Carrières et points'!$C$7*'Carrières et points'!$C$9)+(HLOOKUP(D228,'Carrières et points'!$A$20:$AD$60,F228+2,FALSE)*'Carrières et points'!$C$13*'Carrières et points'!$C$15))/12*(1+'F0 - Données générales'!$L$13))*E228)</f>
        <v/>
      </c>
      <c r="K228" s="118" t="str">
        <f t="shared" si="115"/>
        <v/>
      </c>
      <c r="L228" s="109"/>
      <c r="M228" s="177"/>
      <c r="N228" s="118" t="str">
        <f t="shared" si="116"/>
        <v/>
      </c>
      <c r="O228" s="177"/>
      <c r="P228" s="177"/>
      <c r="Q228" s="177"/>
      <c r="R228" s="255" t="str">
        <f t="shared" si="117"/>
        <v/>
      </c>
      <c r="S228" s="120"/>
      <c r="T228" s="120"/>
      <c r="U228" s="120"/>
      <c r="V228" s="120"/>
      <c r="W228" s="120"/>
      <c r="X228" s="120"/>
      <c r="Y228" s="120"/>
      <c r="Z228" s="120"/>
      <c r="AA228" s="120"/>
      <c r="AB228" s="120"/>
      <c r="AC228" s="120"/>
      <c r="AD228" s="120"/>
      <c r="AE228" s="120"/>
      <c r="AF228" s="120"/>
      <c r="AG228" s="120"/>
      <c r="AH228" s="120"/>
      <c r="AI228" s="120"/>
      <c r="AK228" s="120"/>
      <c r="AL228" s="120"/>
      <c r="AM228" s="120"/>
      <c r="AN228" s="120"/>
      <c r="AO228" s="120"/>
      <c r="AP228" s="120"/>
      <c r="AQ228" s="120"/>
      <c r="AR228" s="120"/>
      <c r="AS228" s="120"/>
      <c r="AT228" s="120"/>
      <c r="AU228" s="120"/>
      <c r="AV228" s="120"/>
      <c r="AW228" s="120"/>
      <c r="AX228" s="120"/>
      <c r="AY228" s="120"/>
      <c r="AZ228" s="120"/>
      <c r="BU228" s="14"/>
      <c r="BV228" s="14"/>
    </row>
    <row r="229" spans="1:74" ht="15" customHeight="1" x14ac:dyDescent="0.3">
      <c r="A229" s="106">
        <v>226</v>
      </c>
      <c r="B229" s="324">
        <f>'F0 - Données générales'!$C$4</f>
        <v>7</v>
      </c>
      <c r="C229" s="106" t="s">
        <v>95</v>
      </c>
      <c r="D229" s="106"/>
      <c r="E229" s="107"/>
      <c r="F229" s="108"/>
      <c r="G229" s="109"/>
      <c r="H229" s="110">
        <f t="shared" si="114"/>
        <v>0</v>
      </c>
      <c r="I229" s="177"/>
      <c r="J229" s="118" t="str">
        <f>IF(OR(D229="",F229=""),"",(((HLOOKUP(D229,'Carrières et points'!$A$20:$AD$60,F229+2,FALSE)*'Carrières et points'!$C$7*'Carrières et points'!$C$9)+(HLOOKUP(D229,'Carrières et points'!$A$20:$AD$60,F229+2,FALSE)*'Carrières et points'!$C$13*'Carrières et points'!$C$15))*(1+'F0 - Données générales'!$I$4)+((HLOOKUP(D229,'Carrières et points'!$A$20:$AD$60,F229+2,FALSE)*'Carrières et points'!$C$7*'Carrières et points'!$C$9)+(HLOOKUP(D229,'Carrières et points'!$A$20:$AD$60,F229+2,FALSE)*'Carrières et points'!$C$13*'Carrières et points'!$C$15))/12*(1+'F0 - Données générales'!$L$13))*E229)</f>
        <v/>
      </c>
      <c r="K229" s="118" t="str">
        <f t="shared" si="115"/>
        <v/>
      </c>
      <c r="L229" s="109"/>
      <c r="M229" s="177"/>
      <c r="N229" s="118" t="str">
        <f t="shared" si="116"/>
        <v/>
      </c>
      <c r="O229" s="177"/>
      <c r="P229" s="177"/>
      <c r="Q229" s="177"/>
      <c r="R229" s="255" t="str">
        <f t="shared" si="117"/>
        <v/>
      </c>
      <c r="S229" s="120"/>
      <c r="T229" s="120"/>
      <c r="U229" s="120"/>
      <c r="V229" s="120"/>
      <c r="W229" s="120"/>
      <c r="X229" s="120"/>
      <c r="Y229" s="120"/>
      <c r="Z229" s="120"/>
      <c r="AA229" s="120"/>
      <c r="AB229" s="120"/>
      <c r="AC229" s="120"/>
      <c r="AD229" s="120"/>
      <c r="AE229" s="120"/>
      <c r="AF229" s="120"/>
      <c r="AG229" s="120"/>
      <c r="AH229" s="120"/>
      <c r="AI229" s="120"/>
      <c r="AK229" s="120"/>
      <c r="AL229" s="120"/>
      <c r="AM229" s="120"/>
      <c r="AN229" s="120"/>
      <c r="AO229" s="120"/>
      <c r="AP229" s="120"/>
      <c r="AQ229" s="120"/>
      <c r="AR229" s="120"/>
      <c r="AS229" s="120"/>
      <c r="AT229" s="120"/>
      <c r="AU229" s="120"/>
      <c r="AV229" s="120"/>
      <c r="AW229" s="120"/>
      <c r="AX229" s="120"/>
      <c r="AY229" s="120"/>
      <c r="AZ229" s="120"/>
      <c r="BS229" s="14"/>
      <c r="BT229" s="14"/>
      <c r="BU229" s="14"/>
      <c r="BV229" s="14"/>
    </row>
    <row r="230" spans="1:74" ht="15" customHeight="1" x14ac:dyDescent="0.3">
      <c r="A230" s="106">
        <v>227</v>
      </c>
      <c r="B230" s="324">
        <f>'F0 - Données générales'!$C$4</f>
        <v>7</v>
      </c>
      <c r="C230" s="106" t="s">
        <v>95</v>
      </c>
      <c r="D230" s="106"/>
      <c r="E230" s="107"/>
      <c r="F230" s="108"/>
      <c r="G230" s="109"/>
      <c r="H230" s="110">
        <f t="shared" si="114"/>
        <v>0</v>
      </c>
      <c r="I230" s="177"/>
      <c r="J230" s="118" t="str">
        <f>IF(OR(D230="",F230=""),"",(((HLOOKUP(D230,'Carrières et points'!$A$20:$AD$60,F230+2,FALSE)*'Carrières et points'!$C$7*'Carrières et points'!$C$9)+(HLOOKUP(D230,'Carrières et points'!$A$20:$AD$60,F230+2,FALSE)*'Carrières et points'!$C$13*'Carrières et points'!$C$15))*(1+'F0 - Données générales'!$I$4)+((HLOOKUP(D230,'Carrières et points'!$A$20:$AD$60,F230+2,FALSE)*'Carrières et points'!$C$7*'Carrières et points'!$C$9)+(HLOOKUP(D230,'Carrières et points'!$A$20:$AD$60,F230+2,FALSE)*'Carrières et points'!$C$13*'Carrières et points'!$C$15))/12*(1+'F0 - Données générales'!$L$13))*E230)</f>
        <v/>
      </c>
      <c r="K230" s="118" t="str">
        <f t="shared" si="115"/>
        <v/>
      </c>
      <c r="L230" s="109"/>
      <c r="M230" s="177"/>
      <c r="N230" s="118" t="str">
        <f t="shared" si="116"/>
        <v/>
      </c>
      <c r="O230" s="177"/>
      <c r="P230" s="177"/>
      <c r="Q230" s="177"/>
      <c r="R230" s="255" t="str">
        <f t="shared" si="117"/>
        <v/>
      </c>
      <c r="S230" s="120"/>
      <c r="T230" s="120"/>
      <c r="U230" s="120"/>
      <c r="V230" s="120"/>
      <c r="W230" s="120"/>
      <c r="X230" s="120"/>
      <c r="Y230" s="120"/>
      <c r="Z230" s="120"/>
      <c r="AA230" s="120"/>
      <c r="AB230" s="120"/>
      <c r="AC230" s="120"/>
      <c r="AD230" s="120"/>
      <c r="AE230" s="120"/>
      <c r="AF230" s="120"/>
      <c r="AG230" s="120"/>
      <c r="AH230" s="120"/>
      <c r="AI230" s="120"/>
      <c r="AK230" s="120"/>
      <c r="AL230" s="120"/>
      <c r="AM230" s="120"/>
      <c r="AN230" s="120"/>
      <c r="AO230" s="120"/>
      <c r="AP230" s="120"/>
      <c r="AQ230" s="120"/>
      <c r="AR230" s="120"/>
      <c r="AS230" s="120"/>
      <c r="AT230" s="120"/>
      <c r="AU230" s="120"/>
      <c r="AV230" s="120"/>
      <c r="AW230" s="120"/>
      <c r="AX230" s="120"/>
      <c r="AY230" s="120"/>
      <c r="AZ230" s="120"/>
      <c r="BS230" s="14"/>
      <c r="BT230" s="14"/>
      <c r="BU230" s="14"/>
      <c r="BV230" s="14"/>
    </row>
    <row r="231" spans="1:74" ht="15" customHeight="1" x14ac:dyDescent="0.3">
      <c r="A231" s="106">
        <v>228</v>
      </c>
      <c r="B231" s="324">
        <f>'F0 - Données générales'!$C$4</f>
        <v>7</v>
      </c>
      <c r="C231" s="106" t="s">
        <v>95</v>
      </c>
      <c r="D231" s="106"/>
      <c r="E231" s="107"/>
      <c r="F231" s="108"/>
      <c r="G231" s="109"/>
      <c r="H231" s="110">
        <f t="shared" si="114"/>
        <v>0</v>
      </c>
      <c r="I231" s="177"/>
      <c r="J231" s="118" t="str">
        <f>IF(OR(D231="",F231=""),"",(((HLOOKUP(D231,'Carrières et points'!$A$20:$AD$60,F231+2,FALSE)*'Carrières et points'!$C$7*'Carrières et points'!$C$9)+(HLOOKUP(D231,'Carrières et points'!$A$20:$AD$60,F231+2,FALSE)*'Carrières et points'!$C$13*'Carrières et points'!$C$15))*(1+'F0 - Données générales'!$I$4)+((HLOOKUP(D231,'Carrières et points'!$A$20:$AD$60,F231+2,FALSE)*'Carrières et points'!$C$7*'Carrières et points'!$C$9)+(HLOOKUP(D231,'Carrières et points'!$A$20:$AD$60,F231+2,FALSE)*'Carrières et points'!$C$13*'Carrières et points'!$C$15))/12*(1+'F0 - Données générales'!$L$13))*E231)</f>
        <v/>
      </c>
      <c r="K231" s="118" t="str">
        <f t="shared" si="115"/>
        <v/>
      </c>
      <c r="L231" s="109"/>
      <c r="M231" s="177"/>
      <c r="N231" s="118" t="str">
        <f t="shared" si="116"/>
        <v/>
      </c>
      <c r="O231" s="177"/>
      <c r="P231" s="177"/>
      <c r="Q231" s="177"/>
      <c r="R231" s="255" t="str">
        <f t="shared" si="117"/>
        <v/>
      </c>
      <c r="S231" s="120"/>
      <c r="T231" s="120"/>
      <c r="U231" s="120"/>
      <c r="V231" s="120"/>
      <c r="W231" s="120"/>
      <c r="X231" s="120"/>
      <c r="Y231" s="120"/>
      <c r="Z231" s="120"/>
      <c r="AA231" s="120"/>
      <c r="AB231" s="120"/>
      <c r="AC231" s="120"/>
      <c r="AD231" s="120"/>
      <c r="AE231" s="120"/>
      <c r="AF231" s="120"/>
      <c r="AG231" s="120"/>
      <c r="AH231" s="120"/>
      <c r="AI231" s="120"/>
      <c r="AK231" s="120"/>
      <c r="AL231" s="120"/>
      <c r="AM231" s="120"/>
      <c r="AN231" s="120"/>
      <c r="AO231" s="120"/>
      <c r="AP231" s="120"/>
      <c r="AQ231" s="120"/>
      <c r="AR231" s="120"/>
      <c r="AS231" s="120"/>
      <c r="AT231" s="120"/>
      <c r="AU231" s="120"/>
      <c r="AV231" s="120"/>
      <c r="AW231" s="120"/>
      <c r="AX231" s="120"/>
      <c r="AY231" s="120"/>
      <c r="AZ231" s="120"/>
      <c r="BS231" s="14"/>
      <c r="BT231" s="14"/>
      <c r="BU231" s="14"/>
      <c r="BV231" s="14"/>
    </row>
    <row r="232" spans="1:74" ht="15" customHeight="1" x14ac:dyDescent="0.3">
      <c r="A232" s="106">
        <v>229</v>
      </c>
      <c r="B232" s="324">
        <f>'F0 - Données générales'!$C$4</f>
        <v>7</v>
      </c>
      <c r="C232" s="106" t="s">
        <v>95</v>
      </c>
      <c r="D232" s="106"/>
      <c r="E232" s="107"/>
      <c r="F232" s="108"/>
      <c r="G232" s="109"/>
      <c r="H232" s="110">
        <f t="shared" si="114"/>
        <v>0</v>
      </c>
      <c r="I232" s="177"/>
      <c r="J232" s="118" t="str">
        <f>IF(OR(D232="",F232=""),"",(((HLOOKUP(D232,'Carrières et points'!$A$20:$AD$60,F232+2,FALSE)*'Carrières et points'!$C$7*'Carrières et points'!$C$9)+(HLOOKUP(D232,'Carrières et points'!$A$20:$AD$60,F232+2,FALSE)*'Carrières et points'!$C$13*'Carrières et points'!$C$15))*(1+'F0 - Données générales'!$I$4)+((HLOOKUP(D232,'Carrières et points'!$A$20:$AD$60,F232+2,FALSE)*'Carrières et points'!$C$7*'Carrières et points'!$C$9)+(HLOOKUP(D232,'Carrières et points'!$A$20:$AD$60,F232+2,FALSE)*'Carrières et points'!$C$13*'Carrières et points'!$C$15))/12*(1+'F0 - Données générales'!$L$13))*E232)</f>
        <v/>
      </c>
      <c r="K232" s="118" t="str">
        <f t="shared" si="115"/>
        <v/>
      </c>
      <c r="L232" s="109"/>
      <c r="M232" s="177"/>
      <c r="N232" s="118" t="str">
        <f t="shared" si="116"/>
        <v/>
      </c>
      <c r="O232" s="177"/>
      <c r="P232" s="177"/>
      <c r="Q232" s="177"/>
      <c r="R232" s="255" t="str">
        <f t="shared" si="117"/>
        <v/>
      </c>
      <c r="S232" s="120"/>
      <c r="T232" s="120"/>
      <c r="U232" s="120"/>
      <c r="V232" s="120"/>
      <c r="W232" s="120"/>
      <c r="X232" s="120"/>
      <c r="Y232" s="120"/>
      <c r="Z232" s="120"/>
      <c r="AA232" s="120"/>
      <c r="AB232" s="120"/>
      <c r="AC232" s="120"/>
      <c r="AD232" s="120"/>
      <c r="AE232" s="120"/>
      <c r="AF232" s="120"/>
      <c r="AG232" s="120"/>
      <c r="AH232" s="120"/>
      <c r="AI232" s="120"/>
      <c r="AK232" s="120"/>
      <c r="AL232" s="120"/>
      <c r="AM232" s="120"/>
      <c r="AN232" s="120"/>
      <c r="AO232" s="120"/>
      <c r="AP232" s="120"/>
      <c r="AQ232" s="120"/>
      <c r="AR232" s="120"/>
      <c r="AS232" s="120"/>
      <c r="AT232" s="120"/>
      <c r="AU232" s="120"/>
      <c r="AV232" s="120"/>
      <c r="AW232" s="120"/>
      <c r="AX232" s="120"/>
      <c r="AY232" s="120"/>
      <c r="AZ232" s="120"/>
      <c r="BS232" s="14"/>
      <c r="BT232" s="14"/>
      <c r="BU232" s="14"/>
      <c r="BV232" s="132"/>
    </row>
    <row r="233" spans="1:74" ht="15" customHeight="1" x14ac:dyDescent="0.3">
      <c r="A233" s="106">
        <v>230</v>
      </c>
      <c r="B233" s="324">
        <f>'F0 - Données générales'!$C$4</f>
        <v>7</v>
      </c>
      <c r="C233" s="106" t="s">
        <v>95</v>
      </c>
      <c r="D233" s="106"/>
      <c r="E233" s="107"/>
      <c r="F233" s="108"/>
      <c r="G233" s="109"/>
      <c r="H233" s="110">
        <f t="shared" si="114"/>
        <v>0</v>
      </c>
      <c r="I233" s="177"/>
      <c r="J233" s="118" t="str">
        <f>IF(OR(D233="",F233=""),"",(((HLOOKUP(D233,'Carrières et points'!$A$20:$AD$60,F233+2,FALSE)*'Carrières et points'!$C$7*'Carrières et points'!$C$9)+(HLOOKUP(D233,'Carrières et points'!$A$20:$AD$60,F233+2,FALSE)*'Carrières et points'!$C$13*'Carrières et points'!$C$15))*(1+'F0 - Données générales'!$I$4)+((HLOOKUP(D233,'Carrières et points'!$A$20:$AD$60,F233+2,FALSE)*'Carrières et points'!$C$7*'Carrières et points'!$C$9)+(HLOOKUP(D233,'Carrières et points'!$A$20:$AD$60,F233+2,FALSE)*'Carrières et points'!$C$13*'Carrières et points'!$C$15))/12*(1+'F0 - Données générales'!$L$13))*E233)</f>
        <v/>
      </c>
      <c r="K233" s="118" t="str">
        <f t="shared" si="115"/>
        <v/>
      </c>
      <c r="L233" s="109"/>
      <c r="M233" s="177"/>
      <c r="N233" s="118" t="str">
        <f t="shared" si="116"/>
        <v/>
      </c>
      <c r="O233" s="177"/>
      <c r="P233" s="177"/>
      <c r="Q233" s="177"/>
      <c r="R233" s="255" t="str">
        <f t="shared" si="117"/>
        <v/>
      </c>
      <c r="S233" s="120"/>
      <c r="T233" s="120"/>
      <c r="U233" s="120"/>
      <c r="V233" s="120"/>
      <c r="W233" s="120"/>
      <c r="X233" s="120"/>
      <c r="Y233" s="120"/>
      <c r="Z233" s="120"/>
      <c r="AA233" s="120"/>
      <c r="AB233" s="120"/>
      <c r="AC233" s="120"/>
      <c r="AD233" s="120"/>
      <c r="AE233" s="120"/>
      <c r="AF233" s="120"/>
      <c r="AG233" s="120"/>
      <c r="AH233" s="120"/>
      <c r="AI233" s="120"/>
      <c r="AK233" s="120"/>
      <c r="AL233" s="120"/>
      <c r="AM233" s="120"/>
      <c r="AN233" s="120"/>
      <c r="AO233" s="120"/>
      <c r="AP233" s="120"/>
      <c r="AQ233" s="120"/>
      <c r="AR233" s="120"/>
      <c r="AS233" s="120"/>
      <c r="AT233" s="120"/>
      <c r="AU233" s="120"/>
      <c r="AV233" s="120"/>
      <c r="AW233" s="120"/>
      <c r="AX233" s="120"/>
      <c r="AY233" s="120"/>
      <c r="AZ233" s="120"/>
      <c r="BS233" s="14"/>
      <c r="BT233" s="14"/>
      <c r="BU233" s="14"/>
      <c r="BV233" s="14"/>
    </row>
    <row r="234" spans="1:74" ht="15" customHeight="1" x14ac:dyDescent="0.3">
      <c r="A234" s="106">
        <v>231</v>
      </c>
      <c r="B234" s="324">
        <f>'F0 - Données générales'!$C$4</f>
        <v>7</v>
      </c>
      <c r="C234" s="106" t="s">
        <v>95</v>
      </c>
      <c r="D234" s="106"/>
      <c r="E234" s="107"/>
      <c r="F234" s="108"/>
      <c r="G234" s="109"/>
      <c r="H234" s="110">
        <f t="shared" si="114"/>
        <v>0</v>
      </c>
      <c r="I234" s="177"/>
      <c r="J234" s="118" t="str">
        <f>IF(OR(D234="",F234=""),"",(((HLOOKUP(D234,'Carrières et points'!$A$20:$AD$60,F234+2,FALSE)*'Carrières et points'!$C$7*'Carrières et points'!$C$9)+(HLOOKUP(D234,'Carrières et points'!$A$20:$AD$60,F234+2,FALSE)*'Carrières et points'!$C$13*'Carrières et points'!$C$15))*(1+'F0 - Données générales'!$I$4)+((HLOOKUP(D234,'Carrières et points'!$A$20:$AD$60,F234+2,FALSE)*'Carrières et points'!$C$7*'Carrières et points'!$C$9)+(HLOOKUP(D234,'Carrières et points'!$A$20:$AD$60,F234+2,FALSE)*'Carrières et points'!$C$13*'Carrières et points'!$C$15))/12*(1+'F0 - Données générales'!$L$13))*E234)</f>
        <v/>
      </c>
      <c r="K234" s="118" t="str">
        <f t="shared" si="115"/>
        <v/>
      </c>
      <c r="L234" s="109"/>
      <c r="M234" s="177"/>
      <c r="N234" s="118" t="str">
        <f t="shared" si="116"/>
        <v/>
      </c>
      <c r="O234" s="177"/>
      <c r="P234" s="177"/>
      <c r="Q234" s="177"/>
      <c r="R234" s="255" t="str">
        <f t="shared" si="117"/>
        <v/>
      </c>
      <c r="S234" s="120"/>
      <c r="T234" s="120"/>
      <c r="U234" s="120"/>
      <c r="V234" s="120"/>
      <c r="W234" s="120"/>
      <c r="X234" s="120"/>
      <c r="Y234" s="120"/>
      <c r="Z234" s="120"/>
      <c r="AA234" s="120"/>
      <c r="AB234" s="120"/>
      <c r="AC234" s="120"/>
      <c r="AD234" s="120"/>
      <c r="AE234" s="120"/>
      <c r="AF234" s="120"/>
      <c r="AG234" s="120"/>
      <c r="AH234" s="120"/>
      <c r="AI234" s="120"/>
      <c r="AK234" s="120"/>
      <c r="AL234" s="120"/>
      <c r="AM234" s="120"/>
      <c r="AN234" s="120"/>
      <c r="AO234" s="120"/>
      <c r="AP234" s="120"/>
      <c r="AQ234" s="120"/>
      <c r="AR234" s="120"/>
      <c r="AS234" s="120"/>
      <c r="AT234" s="120"/>
      <c r="AU234" s="120"/>
      <c r="AV234" s="120"/>
      <c r="AW234" s="120"/>
      <c r="AX234" s="120"/>
      <c r="AY234" s="120"/>
      <c r="AZ234" s="120"/>
      <c r="BS234" s="14"/>
      <c r="BT234" s="14"/>
      <c r="BU234" s="14"/>
      <c r="BV234" s="132"/>
    </row>
    <row r="235" spans="1:74" ht="15" customHeight="1" x14ac:dyDescent="0.3">
      <c r="A235" s="106">
        <v>232</v>
      </c>
      <c r="B235" s="324">
        <f>'F0 - Données générales'!$C$4</f>
        <v>7</v>
      </c>
      <c r="C235" s="106" t="s">
        <v>95</v>
      </c>
      <c r="D235" s="106"/>
      <c r="E235" s="107"/>
      <c r="F235" s="108"/>
      <c r="G235" s="109"/>
      <c r="H235" s="110">
        <f t="shared" si="114"/>
        <v>0</v>
      </c>
      <c r="I235" s="177"/>
      <c r="J235" s="118" t="str">
        <f>IF(OR(D235="",F235=""),"",(((HLOOKUP(D235,'Carrières et points'!$A$20:$AD$60,F235+2,FALSE)*'Carrières et points'!$C$7*'Carrières et points'!$C$9)+(HLOOKUP(D235,'Carrières et points'!$A$20:$AD$60,F235+2,FALSE)*'Carrières et points'!$C$13*'Carrières et points'!$C$15))*(1+'F0 - Données générales'!$I$4)+((HLOOKUP(D235,'Carrières et points'!$A$20:$AD$60,F235+2,FALSE)*'Carrières et points'!$C$7*'Carrières et points'!$C$9)+(HLOOKUP(D235,'Carrières et points'!$A$20:$AD$60,F235+2,FALSE)*'Carrières et points'!$C$13*'Carrières et points'!$C$15))/12*(1+'F0 - Données générales'!$L$13))*E235)</f>
        <v/>
      </c>
      <c r="K235" s="118" t="str">
        <f t="shared" si="115"/>
        <v/>
      </c>
      <c r="L235" s="109"/>
      <c r="M235" s="177"/>
      <c r="N235" s="118" t="str">
        <f t="shared" si="116"/>
        <v/>
      </c>
      <c r="O235" s="177"/>
      <c r="P235" s="177"/>
      <c r="Q235" s="177"/>
      <c r="R235" s="255" t="str">
        <f t="shared" si="117"/>
        <v/>
      </c>
      <c r="S235" s="120"/>
      <c r="T235" s="120"/>
      <c r="U235" s="120"/>
      <c r="V235" s="120"/>
      <c r="W235" s="120"/>
      <c r="X235" s="120"/>
      <c r="Y235" s="120"/>
      <c r="Z235" s="120"/>
      <c r="AA235" s="120"/>
      <c r="AB235" s="120"/>
      <c r="AC235" s="120"/>
      <c r="AD235" s="120"/>
      <c r="AE235" s="120"/>
      <c r="AF235" s="120"/>
      <c r="AG235" s="120"/>
      <c r="AH235" s="120"/>
      <c r="AI235" s="120"/>
      <c r="AK235" s="120"/>
      <c r="AL235" s="120"/>
      <c r="AM235" s="120"/>
      <c r="AN235" s="120"/>
      <c r="AO235" s="120"/>
      <c r="AP235" s="120"/>
      <c r="AQ235" s="120"/>
      <c r="AR235" s="120"/>
      <c r="AS235" s="120"/>
      <c r="AT235" s="120"/>
      <c r="AU235" s="120"/>
      <c r="AV235" s="120"/>
      <c r="AW235" s="120"/>
      <c r="AX235" s="120"/>
      <c r="AY235" s="120"/>
      <c r="AZ235" s="120"/>
      <c r="BS235" s="14"/>
      <c r="BT235" s="14"/>
      <c r="BU235" s="14"/>
      <c r="BV235" s="14"/>
    </row>
    <row r="236" spans="1:74" ht="15" customHeight="1" x14ac:dyDescent="0.3">
      <c r="A236" s="106">
        <v>233</v>
      </c>
      <c r="B236" s="324">
        <f>'F0 - Données générales'!$C$4</f>
        <v>7</v>
      </c>
      <c r="C236" s="106" t="s">
        <v>95</v>
      </c>
      <c r="D236" s="106"/>
      <c r="E236" s="107"/>
      <c r="F236" s="108"/>
      <c r="G236" s="109"/>
      <c r="H236" s="110">
        <f t="shared" si="114"/>
        <v>0</v>
      </c>
      <c r="I236" s="177"/>
      <c r="J236" s="118" t="str">
        <f>IF(OR(D236="",F236=""),"",(((HLOOKUP(D236,'Carrières et points'!$A$20:$AD$60,F236+2,FALSE)*'Carrières et points'!$C$7*'Carrières et points'!$C$9)+(HLOOKUP(D236,'Carrières et points'!$A$20:$AD$60,F236+2,FALSE)*'Carrières et points'!$C$13*'Carrières et points'!$C$15))*(1+'F0 - Données générales'!$I$4)+((HLOOKUP(D236,'Carrières et points'!$A$20:$AD$60,F236+2,FALSE)*'Carrières et points'!$C$7*'Carrières et points'!$C$9)+(HLOOKUP(D236,'Carrières et points'!$A$20:$AD$60,F236+2,FALSE)*'Carrières et points'!$C$13*'Carrières et points'!$C$15))/12*(1+'F0 - Données générales'!$L$13))*E236)</f>
        <v/>
      </c>
      <c r="K236" s="118" t="str">
        <f t="shared" si="115"/>
        <v/>
      </c>
      <c r="L236" s="109"/>
      <c r="M236" s="177"/>
      <c r="N236" s="118" t="str">
        <f t="shared" si="116"/>
        <v/>
      </c>
      <c r="O236" s="177"/>
      <c r="P236" s="177"/>
      <c r="Q236" s="177"/>
      <c r="R236" s="255" t="str">
        <f t="shared" si="117"/>
        <v/>
      </c>
      <c r="S236" s="120"/>
      <c r="T236" s="120"/>
      <c r="U236" s="120"/>
      <c r="V236" s="120"/>
      <c r="W236" s="120"/>
      <c r="X236" s="120"/>
      <c r="Y236" s="120"/>
      <c r="Z236" s="120"/>
      <c r="AA236" s="120"/>
      <c r="AB236" s="120"/>
      <c r="AC236" s="120"/>
      <c r="AD236" s="120"/>
      <c r="AE236" s="120"/>
      <c r="AF236" s="120"/>
      <c r="AG236" s="120"/>
      <c r="AH236" s="120"/>
      <c r="AI236" s="120"/>
      <c r="AK236" s="120"/>
      <c r="AL236" s="120"/>
      <c r="AM236" s="120"/>
      <c r="AN236" s="120"/>
      <c r="AO236" s="120"/>
      <c r="AP236" s="120"/>
      <c r="AQ236" s="120"/>
      <c r="AR236" s="120"/>
      <c r="AS236" s="120"/>
      <c r="AT236" s="120"/>
      <c r="AU236" s="120"/>
      <c r="AV236" s="120"/>
      <c r="AW236" s="120"/>
      <c r="AX236" s="120"/>
      <c r="AY236" s="120"/>
      <c r="AZ236" s="120"/>
      <c r="BS236" s="14"/>
      <c r="BT236" s="14"/>
      <c r="BU236" s="14"/>
    </row>
    <row r="237" spans="1:74" ht="15" customHeight="1" x14ac:dyDescent="0.3">
      <c r="A237" s="106">
        <v>234</v>
      </c>
      <c r="B237" s="324">
        <f>'F0 - Données générales'!$C$4</f>
        <v>7</v>
      </c>
      <c r="C237" s="106" t="s">
        <v>95</v>
      </c>
      <c r="D237" s="106"/>
      <c r="E237" s="107"/>
      <c r="F237" s="108"/>
      <c r="G237" s="109"/>
      <c r="H237" s="110">
        <f t="shared" si="114"/>
        <v>0</v>
      </c>
      <c r="I237" s="177"/>
      <c r="J237" s="118" t="str">
        <f>IF(OR(D237="",F237=""),"",(((HLOOKUP(D237,'Carrières et points'!$A$20:$AD$60,F237+2,FALSE)*'Carrières et points'!$C$7*'Carrières et points'!$C$9)+(HLOOKUP(D237,'Carrières et points'!$A$20:$AD$60,F237+2,FALSE)*'Carrières et points'!$C$13*'Carrières et points'!$C$15))*(1+'F0 - Données générales'!$I$4)+((HLOOKUP(D237,'Carrières et points'!$A$20:$AD$60,F237+2,FALSE)*'Carrières et points'!$C$7*'Carrières et points'!$C$9)+(HLOOKUP(D237,'Carrières et points'!$A$20:$AD$60,F237+2,FALSE)*'Carrières et points'!$C$13*'Carrières et points'!$C$15))/12*(1+'F0 - Données générales'!$L$13))*E237)</f>
        <v/>
      </c>
      <c r="K237" s="118" t="str">
        <f t="shared" si="115"/>
        <v/>
      </c>
      <c r="L237" s="109"/>
      <c r="M237" s="177"/>
      <c r="N237" s="118" t="str">
        <f t="shared" si="116"/>
        <v/>
      </c>
      <c r="O237" s="177"/>
      <c r="P237" s="177"/>
      <c r="Q237" s="177"/>
      <c r="R237" s="255" t="str">
        <f t="shared" si="117"/>
        <v/>
      </c>
      <c r="S237" s="120"/>
      <c r="T237" s="120"/>
      <c r="U237" s="120"/>
      <c r="V237" s="120"/>
      <c r="W237" s="120"/>
      <c r="X237" s="120"/>
      <c r="Y237" s="120"/>
      <c r="Z237" s="120"/>
      <c r="AA237" s="120"/>
      <c r="AB237" s="120"/>
      <c r="AC237" s="120"/>
      <c r="AD237" s="120"/>
      <c r="AE237" s="120"/>
      <c r="AF237" s="120"/>
      <c r="AG237" s="120"/>
      <c r="AH237" s="120"/>
      <c r="AI237" s="120"/>
      <c r="AK237" s="120"/>
      <c r="AL237" s="120"/>
      <c r="AM237" s="120"/>
      <c r="AN237" s="120"/>
      <c r="AO237" s="120"/>
      <c r="AP237" s="120"/>
      <c r="AQ237" s="120"/>
      <c r="AR237" s="120"/>
      <c r="AS237" s="120"/>
      <c r="AT237" s="120"/>
      <c r="AU237" s="120"/>
      <c r="AV237" s="120"/>
      <c r="AW237" s="120"/>
      <c r="AX237" s="120"/>
      <c r="AY237" s="120"/>
      <c r="AZ237" s="120"/>
      <c r="BS237" s="14"/>
      <c r="BT237" s="14"/>
      <c r="BU237" s="14"/>
      <c r="BV237" s="14"/>
    </row>
    <row r="238" spans="1:74" ht="15" customHeight="1" x14ac:dyDescent="0.3">
      <c r="A238" s="106">
        <v>235</v>
      </c>
      <c r="B238" s="324">
        <f>'F0 - Données générales'!$C$4</f>
        <v>7</v>
      </c>
      <c r="C238" s="106" t="s">
        <v>95</v>
      </c>
      <c r="D238" s="106"/>
      <c r="E238" s="107"/>
      <c r="F238" s="108"/>
      <c r="G238" s="109"/>
      <c r="H238" s="110">
        <f t="shared" si="114"/>
        <v>0</v>
      </c>
      <c r="I238" s="177"/>
      <c r="J238" s="118" t="str">
        <f>IF(OR(D238="",F238=""),"",(((HLOOKUP(D238,'Carrières et points'!$A$20:$AD$60,F238+2,FALSE)*'Carrières et points'!$C$7*'Carrières et points'!$C$9)+(HLOOKUP(D238,'Carrières et points'!$A$20:$AD$60,F238+2,FALSE)*'Carrières et points'!$C$13*'Carrières et points'!$C$15))*(1+'F0 - Données générales'!$I$4)+((HLOOKUP(D238,'Carrières et points'!$A$20:$AD$60,F238+2,FALSE)*'Carrières et points'!$C$7*'Carrières et points'!$C$9)+(HLOOKUP(D238,'Carrières et points'!$A$20:$AD$60,F238+2,FALSE)*'Carrières et points'!$C$13*'Carrières et points'!$C$15))/12*(1+'F0 - Données générales'!$L$13))*E238)</f>
        <v/>
      </c>
      <c r="K238" s="118" t="str">
        <f t="shared" si="115"/>
        <v/>
      </c>
      <c r="L238" s="109"/>
      <c r="M238" s="177"/>
      <c r="N238" s="118" t="str">
        <f t="shared" si="116"/>
        <v/>
      </c>
      <c r="O238" s="177"/>
      <c r="P238" s="177"/>
      <c r="Q238" s="177"/>
      <c r="R238" s="255" t="str">
        <f t="shared" si="117"/>
        <v/>
      </c>
      <c r="S238" s="120"/>
      <c r="T238" s="120"/>
      <c r="U238" s="120"/>
      <c r="V238" s="120"/>
      <c r="W238" s="120"/>
      <c r="X238" s="120"/>
      <c r="Y238" s="120"/>
      <c r="Z238" s="120"/>
      <c r="AA238" s="120"/>
      <c r="AB238" s="120"/>
      <c r="AC238" s="120"/>
      <c r="AD238" s="120"/>
      <c r="AE238" s="120"/>
      <c r="AF238" s="120"/>
      <c r="AG238" s="120"/>
      <c r="AH238" s="120"/>
      <c r="AI238" s="120"/>
      <c r="AK238" s="120"/>
      <c r="AL238" s="120"/>
      <c r="AM238" s="120"/>
      <c r="AN238" s="120"/>
      <c r="AO238" s="120"/>
      <c r="AP238" s="120"/>
      <c r="AQ238" s="120"/>
      <c r="AR238" s="120"/>
      <c r="AS238" s="120"/>
      <c r="AT238" s="120"/>
      <c r="AU238" s="120"/>
      <c r="AV238" s="120"/>
      <c r="AW238" s="120"/>
      <c r="AX238" s="120"/>
      <c r="AY238" s="120"/>
      <c r="AZ238" s="120"/>
      <c r="BS238" s="14"/>
      <c r="BT238" s="14"/>
      <c r="BU238" s="14"/>
      <c r="BV238" s="14"/>
    </row>
    <row r="239" spans="1:74" ht="15" customHeight="1" x14ac:dyDescent="0.3">
      <c r="A239" s="106">
        <v>236</v>
      </c>
      <c r="B239" s="324">
        <f>'F0 - Données générales'!$C$4</f>
        <v>7</v>
      </c>
      <c r="C239" s="106" t="s">
        <v>95</v>
      </c>
      <c r="D239" s="106"/>
      <c r="E239" s="107"/>
      <c r="F239" s="108"/>
      <c r="G239" s="109"/>
      <c r="H239" s="110">
        <f t="shared" si="114"/>
        <v>0</v>
      </c>
      <c r="I239" s="177"/>
      <c r="J239" s="118" t="str">
        <f>IF(OR(D239="",F239=""),"",(((HLOOKUP(D239,'Carrières et points'!$A$20:$AD$60,F239+2,FALSE)*'Carrières et points'!$C$7*'Carrières et points'!$C$9)+(HLOOKUP(D239,'Carrières et points'!$A$20:$AD$60,F239+2,FALSE)*'Carrières et points'!$C$13*'Carrières et points'!$C$15))*(1+'F0 - Données générales'!$I$4)+((HLOOKUP(D239,'Carrières et points'!$A$20:$AD$60,F239+2,FALSE)*'Carrières et points'!$C$7*'Carrières et points'!$C$9)+(HLOOKUP(D239,'Carrières et points'!$A$20:$AD$60,F239+2,FALSE)*'Carrières et points'!$C$13*'Carrières et points'!$C$15))/12*(1+'F0 - Données générales'!$L$13))*E239)</f>
        <v/>
      </c>
      <c r="K239" s="118" t="str">
        <f t="shared" si="115"/>
        <v/>
      </c>
      <c r="L239" s="109"/>
      <c r="M239" s="177"/>
      <c r="N239" s="118" t="str">
        <f t="shared" si="116"/>
        <v/>
      </c>
      <c r="O239" s="177"/>
      <c r="P239" s="177"/>
      <c r="Q239" s="177"/>
      <c r="R239" s="255" t="str">
        <f t="shared" si="117"/>
        <v/>
      </c>
      <c r="S239" s="120"/>
      <c r="T239" s="120"/>
      <c r="U239" s="120"/>
      <c r="V239" s="120"/>
      <c r="W239" s="120"/>
      <c r="X239" s="120"/>
      <c r="Y239" s="120"/>
      <c r="Z239" s="120"/>
      <c r="AA239" s="120"/>
      <c r="AB239" s="120"/>
      <c r="AC239" s="120"/>
      <c r="AD239" s="120"/>
      <c r="AE239" s="120"/>
      <c r="AF239" s="120"/>
      <c r="AG239" s="120"/>
      <c r="AH239" s="120"/>
      <c r="AI239" s="120"/>
      <c r="AK239" s="120"/>
      <c r="AL239" s="120"/>
      <c r="AM239" s="120"/>
      <c r="AN239" s="120"/>
      <c r="AO239" s="120"/>
      <c r="AP239" s="120"/>
      <c r="AQ239" s="120"/>
      <c r="AR239" s="120"/>
      <c r="AS239" s="120"/>
      <c r="AT239" s="120"/>
      <c r="AU239" s="120"/>
      <c r="AV239" s="120"/>
      <c r="AW239" s="120"/>
      <c r="AX239" s="120"/>
      <c r="AY239" s="120"/>
      <c r="AZ239" s="120"/>
      <c r="BS239" s="14"/>
      <c r="BT239" s="14"/>
      <c r="BU239" s="14"/>
      <c r="BV239" s="14"/>
    </row>
    <row r="240" spans="1:74" ht="15" customHeight="1" x14ac:dyDescent="0.3">
      <c r="A240" s="106">
        <v>237</v>
      </c>
      <c r="B240" s="324">
        <f>'F0 - Données générales'!$C$4</f>
        <v>7</v>
      </c>
      <c r="C240" s="106" t="s">
        <v>95</v>
      </c>
      <c r="D240" s="106"/>
      <c r="E240" s="107"/>
      <c r="F240" s="108"/>
      <c r="G240" s="109"/>
      <c r="H240" s="110">
        <f t="shared" si="114"/>
        <v>0</v>
      </c>
      <c r="I240" s="177"/>
      <c r="J240" s="118" t="str">
        <f>IF(OR(D240="",F240=""),"",(((HLOOKUP(D240,'Carrières et points'!$A$20:$AD$60,F240+2,FALSE)*'Carrières et points'!$C$7*'Carrières et points'!$C$9)+(HLOOKUP(D240,'Carrières et points'!$A$20:$AD$60,F240+2,FALSE)*'Carrières et points'!$C$13*'Carrières et points'!$C$15))*(1+'F0 - Données générales'!$I$4)+((HLOOKUP(D240,'Carrières et points'!$A$20:$AD$60,F240+2,FALSE)*'Carrières et points'!$C$7*'Carrières et points'!$C$9)+(HLOOKUP(D240,'Carrières et points'!$A$20:$AD$60,F240+2,FALSE)*'Carrières et points'!$C$13*'Carrières et points'!$C$15))/12*(1+'F0 - Données générales'!$L$13))*E240)</f>
        <v/>
      </c>
      <c r="K240" s="118" t="str">
        <f t="shared" si="115"/>
        <v/>
      </c>
      <c r="L240" s="109"/>
      <c r="M240" s="177"/>
      <c r="N240" s="118" t="str">
        <f t="shared" si="116"/>
        <v/>
      </c>
      <c r="O240" s="177"/>
      <c r="P240" s="177"/>
      <c r="Q240" s="177"/>
      <c r="R240" s="255" t="str">
        <f t="shared" si="117"/>
        <v/>
      </c>
      <c r="S240" s="120"/>
      <c r="T240" s="120"/>
      <c r="U240" s="120"/>
      <c r="V240" s="120"/>
      <c r="W240" s="120"/>
      <c r="X240" s="120"/>
      <c r="Y240" s="120"/>
      <c r="Z240" s="120"/>
      <c r="AA240" s="120"/>
      <c r="AB240" s="120"/>
      <c r="AC240" s="120"/>
      <c r="AD240" s="120"/>
      <c r="AE240" s="120"/>
      <c r="AF240" s="120"/>
      <c r="AG240" s="120"/>
      <c r="AH240" s="120"/>
      <c r="AI240" s="120"/>
      <c r="AK240" s="120"/>
      <c r="AL240" s="120"/>
      <c r="AM240" s="120"/>
      <c r="AN240" s="120"/>
      <c r="AO240" s="120"/>
      <c r="AP240" s="120"/>
      <c r="AQ240" s="120"/>
      <c r="AR240" s="120"/>
      <c r="AS240" s="120"/>
      <c r="AT240" s="120"/>
      <c r="AU240" s="120"/>
      <c r="AV240" s="120"/>
      <c r="AW240" s="120"/>
      <c r="AX240" s="120"/>
      <c r="AY240" s="120"/>
      <c r="AZ240" s="120"/>
      <c r="BS240" s="14"/>
      <c r="BT240" s="14"/>
      <c r="BU240" s="132"/>
      <c r="BV240" s="14"/>
    </row>
    <row r="241" spans="1:74" ht="15" customHeight="1" x14ac:dyDescent="0.3">
      <c r="A241" s="106">
        <v>238</v>
      </c>
      <c r="B241" s="324">
        <f>'F0 - Données générales'!$C$4</f>
        <v>7</v>
      </c>
      <c r="C241" s="106" t="s">
        <v>95</v>
      </c>
      <c r="D241" s="106"/>
      <c r="E241" s="107"/>
      <c r="F241" s="108"/>
      <c r="G241" s="109"/>
      <c r="H241" s="110">
        <f t="shared" si="114"/>
        <v>0</v>
      </c>
      <c r="I241" s="177"/>
      <c r="J241" s="118" t="str">
        <f>IF(OR(D241="",F241=""),"",(((HLOOKUP(D241,'Carrières et points'!$A$20:$AD$60,F241+2,FALSE)*'Carrières et points'!$C$7*'Carrières et points'!$C$9)+(HLOOKUP(D241,'Carrières et points'!$A$20:$AD$60,F241+2,FALSE)*'Carrières et points'!$C$13*'Carrières et points'!$C$15))*(1+'F0 - Données générales'!$I$4)+((HLOOKUP(D241,'Carrières et points'!$A$20:$AD$60,F241+2,FALSE)*'Carrières et points'!$C$7*'Carrières et points'!$C$9)+(HLOOKUP(D241,'Carrières et points'!$A$20:$AD$60,F241+2,FALSE)*'Carrières et points'!$C$13*'Carrières et points'!$C$15))/12*(1+'F0 - Données générales'!$L$13))*E241)</f>
        <v/>
      </c>
      <c r="K241" s="118" t="str">
        <f t="shared" si="115"/>
        <v/>
      </c>
      <c r="L241" s="109"/>
      <c r="M241" s="177"/>
      <c r="N241" s="118" t="str">
        <f t="shared" si="116"/>
        <v/>
      </c>
      <c r="O241" s="177"/>
      <c r="P241" s="177"/>
      <c r="Q241" s="177"/>
      <c r="R241" s="255" t="str">
        <f t="shared" si="117"/>
        <v/>
      </c>
      <c r="S241" s="120"/>
      <c r="T241" s="120"/>
      <c r="U241" s="120"/>
      <c r="V241" s="120"/>
      <c r="W241" s="120"/>
      <c r="X241" s="120"/>
      <c r="Y241" s="120"/>
      <c r="Z241" s="120"/>
      <c r="AA241" s="120"/>
      <c r="AB241" s="120"/>
      <c r="AC241" s="120"/>
      <c r="AD241" s="120"/>
      <c r="AE241" s="120"/>
      <c r="AF241" s="120"/>
      <c r="AG241" s="120"/>
      <c r="AH241" s="120"/>
      <c r="AI241" s="120"/>
      <c r="AK241" s="120"/>
      <c r="AL241" s="120"/>
      <c r="AM241" s="120"/>
      <c r="AN241" s="120"/>
      <c r="AO241" s="120"/>
      <c r="AP241" s="120"/>
      <c r="AQ241" s="120"/>
      <c r="AR241" s="120"/>
      <c r="AS241" s="120"/>
      <c r="AT241" s="120"/>
      <c r="AU241" s="120"/>
      <c r="AV241" s="120"/>
      <c r="AW241" s="120"/>
      <c r="AX241" s="120"/>
      <c r="AY241" s="120"/>
      <c r="AZ241" s="120"/>
      <c r="BS241" s="132"/>
      <c r="BT241" s="132"/>
      <c r="BU241" s="14"/>
      <c r="BV241" s="14"/>
    </row>
    <row r="242" spans="1:74" ht="15" customHeight="1" x14ac:dyDescent="0.3">
      <c r="A242" s="106">
        <v>239</v>
      </c>
      <c r="B242" s="324">
        <f>'F0 - Données générales'!$C$4</f>
        <v>7</v>
      </c>
      <c r="C242" s="106" t="s">
        <v>95</v>
      </c>
      <c r="D242" s="106"/>
      <c r="E242" s="107"/>
      <c r="F242" s="108"/>
      <c r="G242" s="109"/>
      <c r="H242" s="110">
        <f t="shared" si="114"/>
        <v>0</v>
      </c>
      <c r="I242" s="177"/>
      <c r="J242" s="118" t="str">
        <f>IF(OR(D242="",F242=""),"",(((HLOOKUP(D242,'Carrières et points'!$A$20:$AD$60,F242+2,FALSE)*'Carrières et points'!$C$7*'Carrières et points'!$C$9)+(HLOOKUP(D242,'Carrières et points'!$A$20:$AD$60,F242+2,FALSE)*'Carrières et points'!$C$13*'Carrières et points'!$C$15))*(1+'F0 - Données générales'!$I$4)+((HLOOKUP(D242,'Carrières et points'!$A$20:$AD$60,F242+2,FALSE)*'Carrières et points'!$C$7*'Carrières et points'!$C$9)+(HLOOKUP(D242,'Carrières et points'!$A$20:$AD$60,F242+2,FALSE)*'Carrières et points'!$C$13*'Carrières et points'!$C$15))/12*(1+'F0 - Données générales'!$L$13))*E242)</f>
        <v/>
      </c>
      <c r="K242" s="118" t="str">
        <f t="shared" si="115"/>
        <v/>
      </c>
      <c r="L242" s="109"/>
      <c r="M242" s="177"/>
      <c r="N242" s="118" t="str">
        <f t="shared" si="116"/>
        <v/>
      </c>
      <c r="O242" s="177"/>
      <c r="P242" s="177"/>
      <c r="Q242" s="177"/>
      <c r="R242" s="255" t="str">
        <f t="shared" si="117"/>
        <v/>
      </c>
      <c r="S242" s="120"/>
      <c r="T242" s="120"/>
      <c r="U242" s="120"/>
      <c r="V242" s="120"/>
      <c r="W242" s="120"/>
      <c r="X242" s="120"/>
      <c r="Y242" s="120"/>
      <c r="Z242" s="120"/>
      <c r="AA242" s="120"/>
      <c r="AB242" s="120"/>
      <c r="AC242" s="120"/>
      <c r="AD242" s="120"/>
      <c r="AE242" s="120"/>
      <c r="AF242" s="120"/>
      <c r="AG242" s="120"/>
      <c r="AH242" s="120"/>
      <c r="AI242" s="120"/>
      <c r="AK242" s="120"/>
      <c r="AL242" s="120"/>
      <c r="AM242" s="120"/>
      <c r="AN242" s="120"/>
      <c r="AO242" s="120"/>
      <c r="AP242" s="120"/>
      <c r="AQ242" s="120"/>
      <c r="AR242" s="120"/>
      <c r="AS242" s="120"/>
      <c r="AT242" s="120"/>
      <c r="AU242" s="120"/>
      <c r="AV242" s="120"/>
      <c r="AW242" s="120"/>
      <c r="AX242" s="120"/>
      <c r="AY242" s="120"/>
      <c r="AZ242" s="120"/>
      <c r="BS242" s="14"/>
      <c r="BT242" s="14"/>
      <c r="BU242" s="132"/>
      <c r="BV242" s="14"/>
    </row>
    <row r="243" spans="1:74" ht="15" customHeight="1" x14ac:dyDescent="0.3">
      <c r="A243" s="106">
        <v>240</v>
      </c>
      <c r="B243" s="324">
        <f>'F0 - Données générales'!$C$4</f>
        <v>7</v>
      </c>
      <c r="C243" s="106" t="s">
        <v>95</v>
      </c>
      <c r="D243" s="106"/>
      <c r="E243" s="107"/>
      <c r="F243" s="108"/>
      <c r="G243" s="109"/>
      <c r="H243" s="110">
        <f t="shared" si="114"/>
        <v>0</v>
      </c>
      <c r="I243" s="177"/>
      <c r="J243" s="118" t="str">
        <f>IF(OR(D243="",F243=""),"",(((HLOOKUP(D243,'Carrières et points'!$A$20:$AD$60,F243+2,FALSE)*'Carrières et points'!$C$7*'Carrières et points'!$C$9)+(HLOOKUP(D243,'Carrières et points'!$A$20:$AD$60,F243+2,FALSE)*'Carrières et points'!$C$13*'Carrières et points'!$C$15))*(1+'F0 - Données générales'!$I$4)+((HLOOKUP(D243,'Carrières et points'!$A$20:$AD$60,F243+2,FALSE)*'Carrières et points'!$C$7*'Carrières et points'!$C$9)+(HLOOKUP(D243,'Carrières et points'!$A$20:$AD$60,F243+2,FALSE)*'Carrières et points'!$C$13*'Carrières et points'!$C$15))/12*(1+'F0 - Données générales'!$L$13))*E243)</f>
        <v/>
      </c>
      <c r="K243" s="118" t="str">
        <f t="shared" si="115"/>
        <v/>
      </c>
      <c r="L243" s="109"/>
      <c r="M243" s="177"/>
      <c r="N243" s="118" t="str">
        <f t="shared" si="116"/>
        <v/>
      </c>
      <c r="O243" s="177"/>
      <c r="P243" s="177"/>
      <c r="Q243" s="177"/>
      <c r="R243" s="255" t="str">
        <f t="shared" si="117"/>
        <v/>
      </c>
      <c r="S243" s="120"/>
      <c r="T243" s="120"/>
      <c r="U243" s="120"/>
      <c r="V243" s="120"/>
      <c r="W243" s="120"/>
      <c r="X243" s="120"/>
      <c r="Y243" s="120"/>
      <c r="Z243" s="120"/>
      <c r="AA243" s="120"/>
      <c r="AB243" s="120"/>
      <c r="AC243" s="120"/>
      <c r="AD243" s="120"/>
      <c r="AE243" s="120"/>
      <c r="AF243" s="120"/>
      <c r="AG243" s="120"/>
      <c r="AH243" s="120"/>
      <c r="AI243" s="120"/>
      <c r="AK243" s="120"/>
      <c r="AL243" s="120"/>
      <c r="AM243" s="120"/>
      <c r="AN243" s="120"/>
      <c r="AO243" s="120"/>
      <c r="AP243" s="120"/>
      <c r="AQ243" s="120"/>
      <c r="AR243" s="120"/>
      <c r="AS243" s="120"/>
      <c r="AT243" s="120"/>
      <c r="AU243" s="120"/>
      <c r="AV243" s="120"/>
      <c r="AW243" s="120"/>
      <c r="AX243" s="120"/>
      <c r="AY243" s="120"/>
      <c r="AZ243" s="120"/>
      <c r="BS243" s="132"/>
      <c r="BT243" s="132"/>
      <c r="BU243" s="14"/>
      <c r="BV243" s="14"/>
    </row>
    <row r="244" spans="1:74" ht="15" customHeight="1" x14ac:dyDescent="0.3">
      <c r="A244" s="106">
        <v>241</v>
      </c>
      <c r="B244" s="324">
        <f>'F0 - Données générales'!$C$4</f>
        <v>7</v>
      </c>
      <c r="C244" s="106" t="s">
        <v>95</v>
      </c>
      <c r="D244" s="106"/>
      <c r="E244" s="107"/>
      <c r="F244" s="108"/>
      <c r="G244" s="109"/>
      <c r="H244" s="110">
        <f t="shared" si="114"/>
        <v>0</v>
      </c>
      <c r="I244" s="177"/>
      <c r="J244" s="118" t="str">
        <f>IF(OR(D244="",F244=""),"",(((HLOOKUP(D244,'Carrières et points'!$A$20:$AD$60,F244+2,FALSE)*'Carrières et points'!$C$7*'Carrières et points'!$C$9)+(HLOOKUP(D244,'Carrières et points'!$A$20:$AD$60,F244+2,FALSE)*'Carrières et points'!$C$13*'Carrières et points'!$C$15))*(1+'F0 - Données générales'!$I$4)+((HLOOKUP(D244,'Carrières et points'!$A$20:$AD$60,F244+2,FALSE)*'Carrières et points'!$C$7*'Carrières et points'!$C$9)+(HLOOKUP(D244,'Carrières et points'!$A$20:$AD$60,F244+2,FALSE)*'Carrières et points'!$C$13*'Carrières et points'!$C$15))/12*(1+'F0 - Données générales'!$L$13))*E244)</f>
        <v/>
      </c>
      <c r="K244" s="118" t="str">
        <f t="shared" si="115"/>
        <v/>
      </c>
      <c r="L244" s="109"/>
      <c r="M244" s="177"/>
      <c r="N244" s="118" t="str">
        <f t="shared" si="116"/>
        <v/>
      </c>
      <c r="O244" s="177"/>
      <c r="P244" s="177"/>
      <c r="Q244" s="177"/>
      <c r="R244" s="255" t="str">
        <f t="shared" si="117"/>
        <v/>
      </c>
      <c r="S244" s="120"/>
      <c r="T244" s="120"/>
      <c r="U244" s="120"/>
      <c r="V244" s="120"/>
      <c r="W244" s="120"/>
      <c r="X244" s="120"/>
      <c r="Y244" s="120"/>
      <c r="Z244" s="120"/>
      <c r="AA244" s="120"/>
      <c r="AB244" s="120"/>
      <c r="AC244" s="120"/>
      <c r="AD244" s="120"/>
      <c r="AE244" s="120"/>
      <c r="AF244" s="120"/>
      <c r="AG244" s="120"/>
      <c r="AH244" s="120"/>
      <c r="AI244" s="120"/>
      <c r="AK244" s="120"/>
      <c r="AL244" s="120"/>
      <c r="AM244" s="120"/>
      <c r="AN244" s="120"/>
      <c r="AO244" s="120"/>
      <c r="AP244" s="120"/>
      <c r="AQ244" s="120"/>
      <c r="AR244" s="120"/>
      <c r="AS244" s="120"/>
      <c r="AT244" s="120"/>
      <c r="AU244" s="120"/>
      <c r="AV244" s="120"/>
      <c r="AW244" s="120"/>
      <c r="AX244" s="120"/>
      <c r="AY244" s="120"/>
      <c r="AZ244" s="120"/>
      <c r="BS244" s="14"/>
      <c r="BT244" s="14"/>
      <c r="BV244" s="14"/>
    </row>
    <row r="245" spans="1:74" ht="15" customHeight="1" x14ac:dyDescent="0.3">
      <c r="A245" s="106">
        <v>242</v>
      </c>
      <c r="B245" s="324">
        <f>'F0 - Données générales'!$C$4</f>
        <v>7</v>
      </c>
      <c r="C245" s="106" t="s">
        <v>95</v>
      </c>
      <c r="D245" s="106"/>
      <c r="E245" s="107"/>
      <c r="F245" s="108"/>
      <c r="G245" s="109"/>
      <c r="H245" s="110">
        <f t="shared" si="114"/>
        <v>0</v>
      </c>
      <c r="I245" s="177"/>
      <c r="J245" s="118" t="str">
        <f>IF(OR(D245="",F245=""),"",(((HLOOKUP(D245,'Carrières et points'!$A$20:$AD$60,F245+2,FALSE)*'Carrières et points'!$C$7*'Carrières et points'!$C$9)+(HLOOKUP(D245,'Carrières et points'!$A$20:$AD$60,F245+2,FALSE)*'Carrières et points'!$C$13*'Carrières et points'!$C$15))*(1+'F0 - Données générales'!$I$4)+((HLOOKUP(D245,'Carrières et points'!$A$20:$AD$60,F245+2,FALSE)*'Carrières et points'!$C$7*'Carrières et points'!$C$9)+(HLOOKUP(D245,'Carrières et points'!$A$20:$AD$60,F245+2,FALSE)*'Carrières et points'!$C$13*'Carrières et points'!$C$15))/12*(1+'F0 - Données générales'!$L$13))*E245)</f>
        <v/>
      </c>
      <c r="K245" s="118" t="str">
        <f t="shared" si="115"/>
        <v/>
      </c>
      <c r="L245" s="109"/>
      <c r="M245" s="177"/>
      <c r="N245" s="118" t="str">
        <f t="shared" si="116"/>
        <v/>
      </c>
      <c r="O245" s="177"/>
      <c r="P245" s="177"/>
      <c r="Q245" s="177"/>
      <c r="R245" s="255" t="str">
        <f t="shared" si="117"/>
        <v/>
      </c>
      <c r="S245" s="120"/>
      <c r="T245" s="120"/>
      <c r="U245" s="120"/>
      <c r="V245" s="120"/>
      <c r="W245" s="120"/>
      <c r="X245" s="120"/>
      <c r="Y245" s="120"/>
      <c r="Z245" s="120"/>
      <c r="AA245" s="120"/>
      <c r="AB245" s="120"/>
      <c r="AC245" s="120"/>
      <c r="AD245" s="120"/>
      <c r="AE245" s="120"/>
      <c r="AF245" s="120"/>
      <c r="AG245" s="120"/>
      <c r="AH245" s="120"/>
      <c r="AI245" s="120"/>
      <c r="AK245" s="120"/>
      <c r="AL245" s="120"/>
      <c r="AM245" s="120"/>
      <c r="AN245" s="120"/>
      <c r="AO245" s="120"/>
      <c r="AP245" s="120"/>
      <c r="AQ245" s="120"/>
      <c r="AR245" s="120"/>
      <c r="AS245" s="120"/>
      <c r="AT245" s="120"/>
      <c r="AU245" s="120"/>
      <c r="AV245" s="120"/>
      <c r="AW245" s="120"/>
      <c r="AX245" s="120"/>
      <c r="AY245" s="120"/>
      <c r="AZ245" s="120"/>
      <c r="BU245" s="14"/>
      <c r="BV245" s="14"/>
    </row>
    <row r="246" spans="1:74" ht="15" customHeight="1" x14ac:dyDescent="0.3">
      <c r="A246" s="106">
        <v>243</v>
      </c>
      <c r="B246" s="324">
        <f>'F0 - Données générales'!$C$4</f>
        <v>7</v>
      </c>
      <c r="C246" s="106" t="s">
        <v>95</v>
      </c>
      <c r="D246" s="106"/>
      <c r="E246" s="107"/>
      <c r="F246" s="108"/>
      <c r="G246" s="109"/>
      <c r="H246" s="110">
        <f t="shared" si="114"/>
        <v>0</v>
      </c>
      <c r="I246" s="177"/>
      <c r="J246" s="118" t="str">
        <f>IF(OR(D246="",F246=""),"",(((HLOOKUP(D246,'Carrières et points'!$A$20:$AD$60,F246+2,FALSE)*'Carrières et points'!$C$7*'Carrières et points'!$C$9)+(HLOOKUP(D246,'Carrières et points'!$A$20:$AD$60,F246+2,FALSE)*'Carrières et points'!$C$13*'Carrières et points'!$C$15))*(1+'F0 - Données générales'!$I$4)+((HLOOKUP(D246,'Carrières et points'!$A$20:$AD$60,F246+2,FALSE)*'Carrières et points'!$C$7*'Carrières et points'!$C$9)+(HLOOKUP(D246,'Carrières et points'!$A$20:$AD$60,F246+2,FALSE)*'Carrières et points'!$C$13*'Carrières et points'!$C$15))/12*(1+'F0 - Données générales'!$L$13))*E246)</f>
        <v/>
      </c>
      <c r="K246" s="118" t="str">
        <f t="shared" si="115"/>
        <v/>
      </c>
      <c r="L246" s="109"/>
      <c r="M246" s="177"/>
      <c r="N246" s="118" t="str">
        <f t="shared" si="116"/>
        <v/>
      </c>
      <c r="O246" s="177"/>
      <c r="P246" s="177"/>
      <c r="Q246" s="177"/>
      <c r="R246" s="255" t="str">
        <f t="shared" si="117"/>
        <v/>
      </c>
      <c r="S246" s="120"/>
      <c r="T246" s="120"/>
      <c r="U246" s="120"/>
      <c r="V246" s="120"/>
      <c r="W246" s="120"/>
      <c r="X246" s="120"/>
      <c r="Y246" s="120"/>
      <c r="Z246" s="120"/>
      <c r="AA246" s="120"/>
      <c r="AB246" s="120"/>
      <c r="AC246" s="120"/>
      <c r="AD246" s="120"/>
      <c r="AE246" s="120"/>
      <c r="AF246" s="120"/>
      <c r="AG246" s="120"/>
      <c r="AH246" s="120"/>
      <c r="AI246" s="120"/>
      <c r="AK246" s="120"/>
      <c r="AL246" s="120"/>
      <c r="AM246" s="120"/>
      <c r="AN246" s="120"/>
      <c r="AO246" s="120"/>
      <c r="AP246" s="120"/>
      <c r="AQ246" s="120"/>
      <c r="AR246" s="120"/>
      <c r="AS246" s="120"/>
      <c r="AT246" s="120"/>
      <c r="AU246" s="120"/>
      <c r="AV246" s="120"/>
      <c r="AW246" s="120"/>
      <c r="AX246" s="120"/>
      <c r="AY246" s="120"/>
      <c r="AZ246" s="120"/>
      <c r="BS246" s="14"/>
      <c r="BT246" s="14"/>
      <c r="BU246" s="14"/>
      <c r="BV246" s="14"/>
    </row>
    <row r="247" spans="1:74" ht="15" customHeight="1" x14ac:dyDescent="0.3">
      <c r="A247" s="106">
        <v>244</v>
      </c>
      <c r="B247" s="324">
        <f>'F0 - Données générales'!$C$4</f>
        <v>7</v>
      </c>
      <c r="C247" s="106" t="s">
        <v>95</v>
      </c>
      <c r="D247" s="106"/>
      <c r="E247" s="107"/>
      <c r="F247" s="108"/>
      <c r="G247" s="109"/>
      <c r="H247" s="110">
        <f t="shared" si="114"/>
        <v>0</v>
      </c>
      <c r="I247" s="177"/>
      <c r="J247" s="118" t="str">
        <f>IF(OR(D247="",F247=""),"",(((HLOOKUP(D247,'Carrières et points'!$A$20:$AD$60,F247+2,FALSE)*'Carrières et points'!$C$7*'Carrières et points'!$C$9)+(HLOOKUP(D247,'Carrières et points'!$A$20:$AD$60,F247+2,FALSE)*'Carrières et points'!$C$13*'Carrières et points'!$C$15))*(1+'F0 - Données générales'!$I$4)+((HLOOKUP(D247,'Carrières et points'!$A$20:$AD$60,F247+2,FALSE)*'Carrières et points'!$C$7*'Carrières et points'!$C$9)+(HLOOKUP(D247,'Carrières et points'!$A$20:$AD$60,F247+2,FALSE)*'Carrières et points'!$C$13*'Carrières et points'!$C$15))/12*(1+'F0 - Données générales'!$L$13))*E247)</f>
        <v/>
      </c>
      <c r="K247" s="118" t="str">
        <f t="shared" si="115"/>
        <v/>
      </c>
      <c r="L247" s="109"/>
      <c r="M247" s="177"/>
      <c r="N247" s="118" t="str">
        <f t="shared" si="116"/>
        <v/>
      </c>
      <c r="O247" s="177"/>
      <c r="P247" s="177"/>
      <c r="Q247" s="177"/>
      <c r="R247" s="255" t="str">
        <f t="shared" si="117"/>
        <v/>
      </c>
      <c r="S247" s="120"/>
      <c r="T247" s="120"/>
      <c r="U247" s="120"/>
      <c r="V247" s="120"/>
      <c r="W247" s="120"/>
      <c r="X247" s="120"/>
      <c r="Y247" s="120"/>
      <c r="Z247" s="120"/>
      <c r="AA247" s="120"/>
      <c r="AB247" s="120"/>
      <c r="AC247" s="120"/>
      <c r="AD247" s="120"/>
      <c r="AE247" s="120"/>
      <c r="AF247" s="120"/>
      <c r="AG247" s="120"/>
      <c r="AH247" s="120"/>
      <c r="AI247" s="120"/>
      <c r="AK247" s="120"/>
      <c r="AL247" s="120"/>
      <c r="AM247" s="120"/>
      <c r="AN247" s="120"/>
      <c r="AO247" s="120"/>
      <c r="AP247" s="120"/>
      <c r="AQ247" s="120"/>
      <c r="AR247" s="120"/>
      <c r="AS247" s="120"/>
      <c r="AT247" s="120"/>
      <c r="AU247" s="120"/>
      <c r="AV247" s="120"/>
      <c r="AW247" s="120"/>
      <c r="AX247" s="120"/>
      <c r="AY247" s="120"/>
      <c r="AZ247" s="120"/>
      <c r="BS247" s="14"/>
      <c r="BT247" s="14"/>
      <c r="BU247" s="14"/>
      <c r="BV247" s="14"/>
    </row>
    <row r="248" spans="1:74" ht="15" customHeight="1" x14ac:dyDescent="0.3">
      <c r="A248" s="106">
        <v>245</v>
      </c>
      <c r="B248" s="324">
        <f>'F0 - Données générales'!$C$4</f>
        <v>7</v>
      </c>
      <c r="C248" s="106" t="s">
        <v>95</v>
      </c>
      <c r="D248" s="106"/>
      <c r="E248" s="107"/>
      <c r="F248" s="108"/>
      <c r="G248" s="109"/>
      <c r="H248" s="110">
        <f t="shared" si="114"/>
        <v>0</v>
      </c>
      <c r="I248" s="177"/>
      <c r="J248" s="118" t="str">
        <f>IF(OR(D248="",F248=""),"",(((HLOOKUP(D248,'Carrières et points'!$A$20:$AD$60,F248+2,FALSE)*'Carrières et points'!$C$7*'Carrières et points'!$C$9)+(HLOOKUP(D248,'Carrières et points'!$A$20:$AD$60,F248+2,FALSE)*'Carrières et points'!$C$13*'Carrières et points'!$C$15))*(1+'F0 - Données générales'!$I$4)+((HLOOKUP(D248,'Carrières et points'!$A$20:$AD$60,F248+2,FALSE)*'Carrières et points'!$C$7*'Carrières et points'!$C$9)+(HLOOKUP(D248,'Carrières et points'!$A$20:$AD$60,F248+2,FALSE)*'Carrières et points'!$C$13*'Carrières et points'!$C$15))/12*(1+'F0 - Données générales'!$L$13))*E248)</f>
        <v/>
      </c>
      <c r="K248" s="118" t="str">
        <f t="shared" si="115"/>
        <v/>
      </c>
      <c r="L248" s="109"/>
      <c r="M248" s="177"/>
      <c r="N248" s="118" t="str">
        <f t="shared" si="116"/>
        <v/>
      </c>
      <c r="O248" s="177"/>
      <c r="P248" s="177"/>
      <c r="Q248" s="177"/>
      <c r="R248" s="255" t="str">
        <f t="shared" si="117"/>
        <v/>
      </c>
      <c r="S248" s="120"/>
      <c r="T248" s="120"/>
      <c r="U248" s="120"/>
      <c r="V248" s="120"/>
      <c r="W248" s="120"/>
      <c r="X248" s="120"/>
      <c r="Y248" s="120"/>
      <c r="Z248" s="120"/>
      <c r="AA248" s="120"/>
      <c r="AB248" s="120"/>
      <c r="AC248" s="120"/>
      <c r="AD248" s="120"/>
      <c r="AE248" s="120"/>
      <c r="AF248" s="120"/>
      <c r="AG248" s="120"/>
      <c r="AH248" s="120"/>
      <c r="AI248" s="120"/>
      <c r="AK248" s="120"/>
      <c r="AL248" s="120"/>
      <c r="AM248" s="120"/>
      <c r="AN248" s="120"/>
      <c r="AO248" s="120"/>
      <c r="AP248" s="120"/>
      <c r="AQ248" s="120"/>
      <c r="AR248" s="120"/>
      <c r="AS248" s="120"/>
      <c r="AT248" s="120"/>
      <c r="AU248" s="120"/>
      <c r="AV248" s="120"/>
      <c r="AW248" s="120"/>
      <c r="AX248" s="120"/>
      <c r="AY248" s="120"/>
      <c r="AZ248" s="120"/>
      <c r="BS248" s="14"/>
      <c r="BT248" s="14"/>
      <c r="BU248" s="14"/>
      <c r="BV248" s="14"/>
    </row>
    <row r="249" spans="1:74" ht="15" customHeight="1" x14ac:dyDescent="0.3">
      <c r="A249" s="106">
        <v>246</v>
      </c>
      <c r="B249" s="324">
        <f>'F0 - Données générales'!$C$4</f>
        <v>7</v>
      </c>
      <c r="C249" s="106" t="s">
        <v>95</v>
      </c>
      <c r="D249" s="106"/>
      <c r="E249" s="107"/>
      <c r="F249" s="108"/>
      <c r="G249" s="109"/>
      <c r="H249" s="110">
        <f t="shared" si="114"/>
        <v>0</v>
      </c>
      <c r="I249" s="177"/>
      <c r="J249" s="118" t="str">
        <f>IF(OR(D249="",F249=""),"",(((HLOOKUP(D249,'Carrières et points'!$A$20:$AD$60,F249+2,FALSE)*'Carrières et points'!$C$7*'Carrières et points'!$C$9)+(HLOOKUP(D249,'Carrières et points'!$A$20:$AD$60,F249+2,FALSE)*'Carrières et points'!$C$13*'Carrières et points'!$C$15))*(1+'F0 - Données générales'!$I$4)+((HLOOKUP(D249,'Carrières et points'!$A$20:$AD$60,F249+2,FALSE)*'Carrières et points'!$C$7*'Carrières et points'!$C$9)+(HLOOKUP(D249,'Carrières et points'!$A$20:$AD$60,F249+2,FALSE)*'Carrières et points'!$C$13*'Carrières et points'!$C$15))/12*(1+'F0 - Données générales'!$L$13))*E249)</f>
        <v/>
      </c>
      <c r="K249" s="118" t="str">
        <f t="shared" si="115"/>
        <v/>
      </c>
      <c r="L249" s="109"/>
      <c r="M249" s="177"/>
      <c r="N249" s="118" t="str">
        <f t="shared" si="116"/>
        <v/>
      </c>
      <c r="O249" s="177"/>
      <c r="P249" s="177"/>
      <c r="Q249" s="177"/>
      <c r="R249" s="255" t="str">
        <f t="shared" si="117"/>
        <v/>
      </c>
      <c r="S249" s="120"/>
      <c r="T249" s="120"/>
      <c r="U249" s="120"/>
      <c r="V249" s="120"/>
      <c r="W249" s="120"/>
      <c r="X249" s="120"/>
      <c r="Y249" s="120"/>
      <c r="Z249" s="120"/>
      <c r="AA249" s="120"/>
      <c r="AB249" s="120"/>
      <c r="AC249" s="120"/>
      <c r="AD249" s="120"/>
      <c r="AE249" s="120"/>
      <c r="AF249" s="120"/>
      <c r="AG249" s="120"/>
      <c r="AH249" s="120"/>
      <c r="AI249" s="120"/>
      <c r="AK249" s="120"/>
      <c r="AL249" s="120"/>
      <c r="AM249" s="120"/>
      <c r="AN249" s="120"/>
      <c r="AO249" s="120"/>
      <c r="AP249" s="120"/>
      <c r="AQ249" s="120"/>
      <c r="AR249" s="120"/>
      <c r="AS249" s="120"/>
      <c r="AT249" s="120"/>
      <c r="AU249" s="120"/>
      <c r="AV249" s="120"/>
      <c r="AW249" s="120"/>
      <c r="AX249" s="120"/>
      <c r="AY249" s="120"/>
      <c r="AZ249" s="120"/>
      <c r="BS249" s="14"/>
      <c r="BT249" s="14"/>
      <c r="BU249" s="14"/>
      <c r="BV249" s="132"/>
    </row>
    <row r="250" spans="1:74" ht="15" customHeight="1" x14ac:dyDescent="0.3">
      <c r="A250" s="106">
        <v>247</v>
      </c>
      <c r="B250" s="324">
        <f>'F0 - Données générales'!$C$4</f>
        <v>7</v>
      </c>
      <c r="C250" s="106" t="s">
        <v>95</v>
      </c>
      <c r="D250" s="106"/>
      <c r="E250" s="107"/>
      <c r="F250" s="108"/>
      <c r="G250" s="109"/>
      <c r="H250" s="110">
        <f t="shared" si="114"/>
        <v>0</v>
      </c>
      <c r="I250" s="177"/>
      <c r="J250" s="118" t="str">
        <f>IF(OR(D250="",F250=""),"",(((HLOOKUP(D250,'Carrières et points'!$A$20:$AD$60,F250+2,FALSE)*'Carrières et points'!$C$7*'Carrières et points'!$C$9)+(HLOOKUP(D250,'Carrières et points'!$A$20:$AD$60,F250+2,FALSE)*'Carrières et points'!$C$13*'Carrières et points'!$C$15))*(1+'F0 - Données générales'!$I$4)+((HLOOKUP(D250,'Carrières et points'!$A$20:$AD$60,F250+2,FALSE)*'Carrières et points'!$C$7*'Carrières et points'!$C$9)+(HLOOKUP(D250,'Carrières et points'!$A$20:$AD$60,F250+2,FALSE)*'Carrières et points'!$C$13*'Carrières et points'!$C$15))/12*(1+'F0 - Données générales'!$L$13))*E250)</f>
        <v/>
      </c>
      <c r="K250" s="118" t="str">
        <f t="shared" si="115"/>
        <v/>
      </c>
      <c r="L250" s="109"/>
      <c r="M250" s="177"/>
      <c r="N250" s="118" t="str">
        <f t="shared" si="116"/>
        <v/>
      </c>
      <c r="O250" s="177"/>
      <c r="P250" s="177"/>
      <c r="Q250" s="177"/>
      <c r="R250" s="255" t="str">
        <f t="shared" si="117"/>
        <v/>
      </c>
      <c r="S250" s="120"/>
      <c r="T250" s="120"/>
      <c r="U250" s="120"/>
      <c r="V250" s="120"/>
      <c r="W250" s="120"/>
      <c r="X250" s="120"/>
      <c r="Y250" s="120"/>
      <c r="Z250" s="120"/>
      <c r="AA250" s="120"/>
      <c r="AB250" s="120"/>
      <c r="AC250" s="120"/>
      <c r="AD250" s="120"/>
      <c r="AE250" s="120"/>
      <c r="AF250" s="120"/>
      <c r="AG250" s="120"/>
      <c r="AH250" s="120"/>
      <c r="AI250" s="120"/>
      <c r="AK250" s="120"/>
      <c r="AL250" s="120"/>
      <c r="AM250" s="120"/>
      <c r="AN250" s="120"/>
      <c r="AO250" s="120"/>
      <c r="AP250" s="120"/>
      <c r="AQ250" s="120"/>
      <c r="AR250" s="120"/>
      <c r="AS250" s="120"/>
      <c r="AT250" s="120"/>
      <c r="AU250" s="120"/>
      <c r="AV250" s="120"/>
      <c r="AW250" s="120"/>
      <c r="AX250" s="120"/>
      <c r="AY250" s="120"/>
      <c r="AZ250" s="120"/>
      <c r="BS250" s="14"/>
      <c r="BT250" s="14"/>
      <c r="BU250" s="14"/>
      <c r="BV250" s="14"/>
    </row>
    <row r="251" spans="1:74" ht="15" customHeight="1" x14ac:dyDescent="0.3">
      <c r="A251" s="106">
        <v>248</v>
      </c>
      <c r="B251" s="324">
        <f>'F0 - Données générales'!$C$4</f>
        <v>7</v>
      </c>
      <c r="C251" s="106" t="s">
        <v>95</v>
      </c>
      <c r="D251" s="106"/>
      <c r="E251" s="107"/>
      <c r="F251" s="108"/>
      <c r="G251" s="109"/>
      <c r="H251" s="110">
        <f t="shared" si="114"/>
        <v>0</v>
      </c>
      <c r="I251" s="177"/>
      <c r="J251" s="118" t="str">
        <f>IF(OR(D251="",F251=""),"",(((HLOOKUP(D251,'Carrières et points'!$A$20:$AD$60,F251+2,FALSE)*'Carrières et points'!$C$7*'Carrières et points'!$C$9)+(HLOOKUP(D251,'Carrières et points'!$A$20:$AD$60,F251+2,FALSE)*'Carrières et points'!$C$13*'Carrières et points'!$C$15))*(1+'F0 - Données générales'!$I$4)+((HLOOKUP(D251,'Carrières et points'!$A$20:$AD$60,F251+2,FALSE)*'Carrières et points'!$C$7*'Carrières et points'!$C$9)+(HLOOKUP(D251,'Carrières et points'!$A$20:$AD$60,F251+2,FALSE)*'Carrières et points'!$C$13*'Carrières et points'!$C$15))/12*(1+'F0 - Données générales'!$L$13))*E251)</f>
        <v/>
      </c>
      <c r="K251" s="118" t="str">
        <f t="shared" si="115"/>
        <v/>
      </c>
      <c r="L251" s="109"/>
      <c r="M251" s="177"/>
      <c r="N251" s="118" t="str">
        <f t="shared" si="116"/>
        <v/>
      </c>
      <c r="O251" s="177"/>
      <c r="P251" s="177"/>
      <c r="Q251" s="177"/>
      <c r="R251" s="255" t="str">
        <f t="shared" si="117"/>
        <v/>
      </c>
      <c r="S251" s="120"/>
      <c r="T251" s="120"/>
      <c r="U251" s="120"/>
      <c r="V251" s="120"/>
      <c r="W251" s="120"/>
      <c r="X251" s="120"/>
      <c r="Y251" s="120"/>
      <c r="Z251" s="120"/>
      <c r="AA251" s="120"/>
      <c r="AB251" s="120"/>
      <c r="AC251" s="120"/>
      <c r="AD251" s="120"/>
      <c r="AE251" s="120"/>
      <c r="AF251" s="120"/>
      <c r="AG251" s="120"/>
      <c r="AH251" s="120"/>
      <c r="AI251" s="120"/>
      <c r="AK251" s="120"/>
      <c r="AL251" s="120"/>
      <c r="AM251" s="120"/>
      <c r="AN251" s="120"/>
      <c r="AO251" s="120"/>
      <c r="AP251" s="120"/>
      <c r="AQ251" s="120"/>
      <c r="AR251" s="120"/>
      <c r="AS251" s="120"/>
      <c r="AT251" s="120"/>
      <c r="AU251" s="120"/>
      <c r="AV251" s="120"/>
      <c r="AW251" s="120"/>
      <c r="AX251" s="120"/>
      <c r="AY251" s="120"/>
      <c r="AZ251" s="120"/>
      <c r="BS251" s="14"/>
      <c r="BT251" s="14"/>
      <c r="BU251" s="14"/>
      <c r="BV251" s="132"/>
    </row>
    <row r="252" spans="1:74" ht="15" customHeight="1" x14ac:dyDescent="0.3">
      <c r="A252" s="106">
        <v>249</v>
      </c>
      <c r="B252" s="324">
        <f>'F0 - Données générales'!$C$4</f>
        <v>7</v>
      </c>
      <c r="C252" s="106" t="s">
        <v>95</v>
      </c>
      <c r="D252" s="106"/>
      <c r="E252" s="107"/>
      <c r="F252" s="108"/>
      <c r="G252" s="109"/>
      <c r="H252" s="110">
        <f t="shared" si="114"/>
        <v>0</v>
      </c>
      <c r="I252" s="177"/>
      <c r="J252" s="118" t="str">
        <f>IF(OR(D252="",F252=""),"",(((HLOOKUP(D252,'Carrières et points'!$A$20:$AD$60,F252+2,FALSE)*'Carrières et points'!$C$7*'Carrières et points'!$C$9)+(HLOOKUP(D252,'Carrières et points'!$A$20:$AD$60,F252+2,FALSE)*'Carrières et points'!$C$13*'Carrières et points'!$C$15))*(1+'F0 - Données générales'!$I$4)+((HLOOKUP(D252,'Carrières et points'!$A$20:$AD$60,F252+2,FALSE)*'Carrières et points'!$C$7*'Carrières et points'!$C$9)+(HLOOKUP(D252,'Carrières et points'!$A$20:$AD$60,F252+2,FALSE)*'Carrières et points'!$C$13*'Carrières et points'!$C$15))/12*(1+'F0 - Données générales'!$L$13))*E252)</f>
        <v/>
      </c>
      <c r="K252" s="118" t="str">
        <f t="shared" si="115"/>
        <v/>
      </c>
      <c r="L252" s="109"/>
      <c r="M252" s="177"/>
      <c r="N252" s="118" t="str">
        <f t="shared" si="116"/>
        <v/>
      </c>
      <c r="O252" s="177"/>
      <c r="P252" s="177"/>
      <c r="Q252" s="177"/>
      <c r="R252" s="255" t="str">
        <f t="shared" si="117"/>
        <v/>
      </c>
      <c r="S252" s="120"/>
      <c r="T252" s="120"/>
      <c r="U252" s="120"/>
      <c r="V252" s="120"/>
      <c r="W252" s="120"/>
      <c r="X252" s="120"/>
      <c r="Y252" s="120"/>
      <c r="Z252" s="120"/>
      <c r="AA252" s="120"/>
      <c r="AB252" s="120"/>
      <c r="AC252" s="120"/>
      <c r="AD252" s="120"/>
      <c r="AE252" s="120"/>
      <c r="AF252" s="120"/>
      <c r="AG252" s="120"/>
      <c r="AH252" s="120"/>
      <c r="AI252" s="120"/>
      <c r="AK252" s="120"/>
      <c r="AL252" s="120"/>
      <c r="AM252" s="120"/>
      <c r="AN252" s="120"/>
      <c r="AO252" s="120"/>
      <c r="AP252" s="120"/>
      <c r="AQ252" s="120"/>
      <c r="AR252" s="120"/>
      <c r="AS252" s="120"/>
      <c r="AT252" s="120"/>
      <c r="AU252" s="120"/>
      <c r="AV252" s="120"/>
      <c r="AW252" s="120"/>
      <c r="AX252" s="120"/>
      <c r="AY252" s="120"/>
      <c r="AZ252" s="120"/>
      <c r="BS252" s="14"/>
      <c r="BT252" s="14"/>
      <c r="BU252" s="14"/>
      <c r="BV252" s="14"/>
    </row>
    <row r="253" spans="1:74" ht="15" customHeight="1" x14ac:dyDescent="0.3">
      <c r="A253" s="106">
        <v>250</v>
      </c>
      <c r="B253" s="324">
        <f>'F0 - Données générales'!$C$4</f>
        <v>7</v>
      </c>
      <c r="C253" s="106" t="s">
        <v>95</v>
      </c>
      <c r="D253" s="106"/>
      <c r="E253" s="107"/>
      <c r="F253" s="108"/>
      <c r="G253" s="109"/>
      <c r="H253" s="110">
        <f t="shared" si="114"/>
        <v>0</v>
      </c>
      <c r="I253" s="177"/>
      <c r="J253" s="118" t="str">
        <f>IF(OR(D253="",F253=""),"",(((HLOOKUP(D253,'Carrières et points'!$A$20:$AD$60,F253+2,FALSE)*'Carrières et points'!$C$7*'Carrières et points'!$C$9)+(HLOOKUP(D253,'Carrières et points'!$A$20:$AD$60,F253+2,FALSE)*'Carrières et points'!$C$13*'Carrières et points'!$C$15))*(1+'F0 - Données générales'!$I$4)+((HLOOKUP(D253,'Carrières et points'!$A$20:$AD$60,F253+2,FALSE)*'Carrières et points'!$C$7*'Carrières et points'!$C$9)+(HLOOKUP(D253,'Carrières et points'!$A$20:$AD$60,F253+2,FALSE)*'Carrières et points'!$C$13*'Carrières et points'!$C$15))/12*(1+'F0 - Données générales'!$L$13))*E253)</f>
        <v/>
      </c>
      <c r="K253" s="118" t="str">
        <f t="shared" si="115"/>
        <v/>
      </c>
      <c r="L253" s="109"/>
      <c r="M253" s="177"/>
      <c r="N253" s="118" t="str">
        <f t="shared" si="116"/>
        <v/>
      </c>
      <c r="O253" s="177"/>
      <c r="P253" s="177"/>
      <c r="Q253" s="177"/>
      <c r="R253" s="255" t="str">
        <f t="shared" si="117"/>
        <v/>
      </c>
      <c r="S253" s="120"/>
      <c r="T253" s="120"/>
      <c r="U253" s="120"/>
      <c r="V253" s="120"/>
      <c r="W253" s="120"/>
      <c r="X253" s="120"/>
      <c r="Y253" s="120"/>
      <c r="Z253" s="120"/>
      <c r="AA253" s="120"/>
      <c r="AB253" s="120"/>
      <c r="AC253" s="120"/>
      <c r="AD253" s="120"/>
      <c r="AE253" s="120"/>
      <c r="AF253" s="120"/>
      <c r="AG253" s="120"/>
      <c r="AH253" s="120"/>
      <c r="AI253" s="120"/>
      <c r="AK253" s="120"/>
      <c r="AL253" s="120"/>
      <c r="AM253" s="120"/>
      <c r="AN253" s="120"/>
      <c r="AO253" s="120"/>
      <c r="AP253" s="120"/>
      <c r="AQ253" s="120"/>
      <c r="AR253" s="120"/>
      <c r="AS253" s="120"/>
      <c r="AT253" s="120"/>
      <c r="AU253" s="120"/>
      <c r="AV253" s="120"/>
      <c r="AW253" s="120"/>
      <c r="AX253" s="120"/>
      <c r="AY253" s="120"/>
      <c r="AZ253" s="120"/>
      <c r="BS253" s="14"/>
      <c r="BT253" s="14"/>
      <c r="BU253" s="14"/>
    </row>
    <row r="254" spans="1:74" x14ac:dyDescent="0.3">
      <c r="BS254" s="14"/>
      <c r="BT254" s="14"/>
      <c r="BU254" s="14"/>
      <c r="BV254" s="14"/>
    </row>
    <row r="255" spans="1:74" hidden="1" x14ac:dyDescent="0.3">
      <c r="A255" s="64" t="s">
        <v>195</v>
      </c>
      <c r="BS255" s="14"/>
      <c r="BT255" s="14"/>
      <c r="BU255" s="14"/>
      <c r="BV255" s="14"/>
    </row>
    <row r="256" spans="1:74" ht="117" hidden="1" customHeight="1" x14ac:dyDescent="0.3">
      <c r="A256" s="105" t="s">
        <v>53</v>
      </c>
      <c r="B256" s="105" t="s">
        <v>175</v>
      </c>
      <c r="C256" s="105" t="s">
        <v>54</v>
      </c>
      <c r="D256" s="105" t="s">
        <v>55</v>
      </c>
      <c r="E256" s="105" t="s">
        <v>56</v>
      </c>
      <c r="F256" s="105" t="s">
        <v>287</v>
      </c>
      <c r="G256" s="105" t="s">
        <v>250</v>
      </c>
      <c r="H256" s="105" t="s">
        <v>176</v>
      </c>
      <c r="I256" s="165" t="s">
        <v>318</v>
      </c>
      <c r="J256" s="105" t="s">
        <v>177</v>
      </c>
      <c r="K256" s="165" t="s">
        <v>302</v>
      </c>
      <c r="L256" s="165" t="s">
        <v>303</v>
      </c>
      <c r="M256" s="165" t="s">
        <v>304</v>
      </c>
      <c r="N256" s="165" t="s">
        <v>400</v>
      </c>
      <c r="O256" s="165" t="s">
        <v>284</v>
      </c>
      <c r="P256" s="165" t="s">
        <v>59</v>
      </c>
      <c r="Q256" s="165" t="s">
        <v>60</v>
      </c>
      <c r="R256" s="165" t="s">
        <v>399</v>
      </c>
      <c r="S256" s="119"/>
      <c r="T256" s="119"/>
      <c r="U256" s="119"/>
      <c r="V256" s="119"/>
      <c r="W256" s="119"/>
      <c r="X256" s="119"/>
      <c r="Y256" s="119"/>
      <c r="Z256" s="119"/>
      <c r="AA256" s="119"/>
      <c r="AB256" s="119"/>
      <c r="AC256" s="119"/>
      <c r="AD256" s="119"/>
      <c r="AE256" s="119"/>
      <c r="AF256" s="119"/>
      <c r="AG256" s="119"/>
      <c r="AH256" s="119"/>
      <c r="AI256" s="119"/>
      <c r="AK256" s="119"/>
      <c r="AL256" s="119"/>
      <c r="AM256" s="119"/>
      <c r="AN256" s="119"/>
      <c r="AO256" s="119"/>
      <c r="AP256" s="119"/>
      <c r="AQ256" s="119"/>
      <c r="AR256" s="119"/>
      <c r="AS256" s="119"/>
      <c r="AT256" s="119"/>
      <c r="AU256" s="119"/>
      <c r="AV256" s="119"/>
      <c r="AW256" s="119"/>
      <c r="AX256" s="119"/>
      <c r="AY256" s="119"/>
      <c r="AZ256" s="119"/>
      <c r="BS256" s="14"/>
      <c r="BT256" s="14"/>
      <c r="BU256" s="14"/>
      <c r="BV256" s="14"/>
    </row>
    <row r="257" spans="1:74" hidden="1" x14ac:dyDescent="0.3">
      <c r="A257" s="106">
        <v>251</v>
      </c>
      <c r="B257" s="106"/>
      <c r="C257" s="106"/>
      <c r="D257" s="106"/>
      <c r="E257" s="107"/>
      <c r="F257" s="108"/>
      <c r="G257" s="109"/>
      <c r="H257" s="110">
        <f t="shared" ref="H257:H281" si="119">E257-G257/2076</f>
        <v>0</v>
      </c>
      <c r="I257" s="177"/>
      <c r="J257" s="118" t="str">
        <f>IF(OR(D257="",F257=""),"",(((HLOOKUP(D257,'Carrières et points'!$A$20:$AD$60,F257+2,FALSE)*'Carrières et points'!$C$7*'Carrières et points'!$C$9)+(HLOOKUP(D257,'Carrières et points'!$A$20:$AD$60,F257+2,FALSE)*'Carrières et points'!$C$13*'Carrières et points'!$C$15))*(1+'F0 - Données générales'!$I$4)+((HLOOKUP(D257,'Carrières et points'!$A$20:$AD$60,F257+2,FALSE)*'Carrières et points'!$C$7*'Carrières et points'!$C$9)+(HLOOKUP(D257,'Carrières et points'!$A$20:$AD$60,F257+2,FALSE)*'Carrières et points'!$C$13*'Carrières et points'!$C$15))/12*(1+'F0 - Données générales'!$L$13))*E257)</f>
        <v/>
      </c>
      <c r="K257" s="118" t="str">
        <f t="shared" ref="K257:K281" si="120">IF(OR(I257="",J257=""),"",IF(OR(J257&gt;1.05*I257,J257&lt;0.95*I257),"à justifier","ok"))</f>
        <v/>
      </c>
      <c r="L257" s="109"/>
      <c r="M257" s="177"/>
      <c r="N257" s="118" t="str">
        <f t="shared" ref="N257:N281" si="121">IF(I257="","",I257+M257)</f>
        <v/>
      </c>
      <c r="O257" s="177"/>
      <c r="P257" s="177"/>
      <c r="Q257" s="177"/>
      <c r="R257" s="255" t="str">
        <f t="shared" ref="R257:R281" si="122">IF(N257="","",N257-SUM(O257:Q257))</f>
        <v/>
      </c>
      <c r="S257" s="120"/>
      <c r="T257" s="120"/>
      <c r="U257" s="120"/>
      <c r="V257" s="120"/>
      <c r="W257" s="120"/>
      <c r="X257" s="120"/>
      <c r="Y257" s="120"/>
      <c r="Z257" s="120"/>
      <c r="AA257" s="120"/>
      <c r="AB257" s="120"/>
      <c r="AC257" s="120"/>
      <c r="AD257" s="120"/>
      <c r="AE257" s="120"/>
      <c r="AF257" s="120"/>
      <c r="AG257" s="120"/>
      <c r="AH257" s="120"/>
      <c r="AI257" s="120"/>
      <c r="AK257" s="120"/>
      <c r="AL257" s="120"/>
      <c r="AM257" s="120"/>
      <c r="AN257" s="120"/>
      <c r="AO257" s="120"/>
      <c r="AP257" s="120"/>
      <c r="AQ257" s="120"/>
      <c r="AR257" s="120"/>
      <c r="AS257" s="120"/>
      <c r="AT257" s="120"/>
      <c r="AU257" s="120"/>
      <c r="AV257" s="120"/>
      <c r="AW257" s="120"/>
      <c r="AX257" s="120"/>
      <c r="AY257" s="120"/>
      <c r="AZ257" s="120"/>
      <c r="BS257" s="14"/>
      <c r="BT257" s="14"/>
      <c r="BU257" s="132"/>
      <c r="BV257" s="14"/>
    </row>
    <row r="258" spans="1:74" hidden="1" x14ac:dyDescent="0.3">
      <c r="A258" s="106">
        <v>252</v>
      </c>
      <c r="B258" s="106"/>
      <c r="C258" s="106"/>
      <c r="D258" s="106"/>
      <c r="E258" s="107"/>
      <c r="F258" s="108"/>
      <c r="G258" s="109"/>
      <c r="H258" s="110">
        <f t="shared" si="119"/>
        <v>0</v>
      </c>
      <c r="I258" s="177"/>
      <c r="J258" s="118" t="str">
        <f>IF(OR(D258="",F258=""),"",(((HLOOKUP(D258,'Carrières et points'!$A$20:$AD$60,F258+2,FALSE)*'Carrières et points'!$C$7*'Carrières et points'!$C$9)+(HLOOKUP(D258,'Carrières et points'!$A$20:$AD$60,F258+2,FALSE)*'Carrières et points'!$C$13*'Carrières et points'!$C$15))*(1+'F0 - Données générales'!$I$4)+((HLOOKUP(D258,'Carrières et points'!$A$20:$AD$60,F258+2,FALSE)*'Carrières et points'!$C$7*'Carrières et points'!$C$9)+(HLOOKUP(D258,'Carrières et points'!$A$20:$AD$60,F258+2,FALSE)*'Carrières et points'!$C$13*'Carrières et points'!$C$15))/12*(1+'F0 - Données générales'!$L$13))*E258)</f>
        <v/>
      </c>
      <c r="K258" s="118" t="str">
        <f t="shared" si="120"/>
        <v/>
      </c>
      <c r="L258" s="109"/>
      <c r="M258" s="177"/>
      <c r="N258" s="118" t="str">
        <f t="shared" si="121"/>
        <v/>
      </c>
      <c r="O258" s="177"/>
      <c r="P258" s="177"/>
      <c r="Q258" s="177"/>
      <c r="R258" s="255" t="str">
        <f t="shared" si="122"/>
        <v/>
      </c>
      <c r="S258" s="120"/>
      <c r="T258" s="120"/>
      <c r="U258" s="120"/>
      <c r="V258" s="120"/>
      <c r="W258" s="120"/>
      <c r="X258" s="120"/>
      <c r="Y258" s="120"/>
      <c r="Z258" s="120"/>
      <c r="AA258" s="120"/>
      <c r="AB258" s="120"/>
      <c r="AC258" s="120"/>
      <c r="AD258" s="120"/>
      <c r="AE258" s="120"/>
      <c r="AF258" s="120"/>
      <c r="AG258" s="120"/>
      <c r="AH258" s="120"/>
      <c r="AI258" s="120"/>
      <c r="AK258" s="120"/>
      <c r="AL258" s="120"/>
      <c r="AM258" s="120"/>
      <c r="AN258" s="120"/>
      <c r="AO258" s="120"/>
      <c r="AP258" s="120"/>
      <c r="AQ258" s="120"/>
      <c r="AR258" s="120"/>
      <c r="AS258" s="120"/>
      <c r="AT258" s="120"/>
      <c r="AU258" s="120"/>
      <c r="AV258" s="120"/>
      <c r="AW258" s="120"/>
      <c r="AX258" s="120"/>
      <c r="AY258" s="120"/>
      <c r="AZ258" s="120"/>
      <c r="BS258" s="132"/>
      <c r="BT258" s="132"/>
      <c r="BU258" s="14"/>
      <c r="BV258" s="14"/>
    </row>
    <row r="259" spans="1:74" hidden="1" x14ac:dyDescent="0.3">
      <c r="A259" s="106">
        <v>253</v>
      </c>
      <c r="B259" s="106"/>
      <c r="C259" s="106"/>
      <c r="D259" s="106"/>
      <c r="E259" s="107"/>
      <c r="F259" s="108"/>
      <c r="G259" s="109"/>
      <c r="H259" s="110">
        <f t="shared" si="119"/>
        <v>0</v>
      </c>
      <c r="I259" s="177"/>
      <c r="J259" s="118" t="str">
        <f>IF(OR(D259="",F259=""),"",(((HLOOKUP(D259,'Carrières et points'!$A$20:$AD$60,F259+2,FALSE)*'Carrières et points'!$C$7*'Carrières et points'!$C$9)+(HLOOKUP(D259,'Carrières et points'!$A$20:$AD$60,F259+2,FALSE)*'Carrières et points'!$C$13*'Carrières et points'!$C$15))*(1+'F0 - Données générales'!$I$4)+((HLOOKUP(D259,'Carrières et points'!$A$20:$AD$60,F259+2,FALSE)*'Carrières et points'!$C$7*'Carrières et points'!$C$9)+(HLOOKUP(D259,'Carrières et points'!$A$20:$AD$60,F259+2,FALSE)*'Carrières et points'!$C$13*'Carrières et points'!$C$15))/12*(1+'F0 - Données générales'!$L$13))*E259)</f>
        <v/>
      </c>
      <c r="K259" s="118" t="str">
        <f t="shared" si="120"/>
        <v/>
      </c>
      <c r="L259" s="109"/>
      <c r="M259" s="177"/>
      <c r="N259" s="118" t="str">
        <f t="shared" si="121"/>
        <v/>
      </c>
      <c r="O259" s="177"/>
      <c r="P259" s="177"/>
      <c r="Q259" s="177"/>
      <c r="R259" s="255" t="str">
        <f t="shared" si="122"/>
        <v/>
      </c>
      <c r="S259" s="120"/>
      <c r="T259" s="120"/>
      <c r="U259" s="120"/>
      <c r="V259" s="120"/>
      <c r="W259" s="120"/>
      <c r="X259" s="120"/>
      <c r="Y259" s="120"/>
      <c r="Z259" s="120"/>
      <c r="AA259" s="120"/>
      <c r="AB259" s="120"/>
      <c r="AC259" s="120"/>
      <c r="AD259" s="120"/>
      <c r="AE259" s="120"/>
      <c r="AF259" s="120"/>
      <c r="AG259" s="120"/>
      <c r="AH259" s="120"/>
      <c r="AI259" s="120"/>
      <c r="AK259" s="120"/>
      <c r="AL259" s="120"/>
      <c r="AM259" s="120"/>
      <c r="AN259" s="120"/>
      <c r="AO259" s="120"/>
      <c r="AP259" s="120"/>
      <c r="AQ259" s="120"/>
      <c r="AR259" s="120"/>
      <c r="AS259" s="120"/>
      <c r="AT259" s="120"/>
      <c r="AU259" s="120"/>
      <c r="AV259" s="120"/>
      <c r="AW259" s="120"/>
      <c r="AX259" s="120"/>
      <c r="AY259" s="120"/>
      <c r="AZ259" s="120"/>
      <c r="BS259" s="14"/>
      <c r="BT259" s="14"/>
      <c r="BU259" s="132"/>
      <c r="BV259" s="14"/>
    </row>
    <row r="260" spans="1:74" hidden="1" x14ac:dyDescent="0.3">
      <c r="A260" s="106">
        <v>254</v>
      </c>
      <c r="B260" s="106"/>
      <c r="C260" s="106"/>
      <c r="D260" s="106"/>
      <c r="E260" s="107"/>
      <c r="F260" s="108"/>
      <c r="G260" s="109"/>
      <c r="H260" s="110">
        <f t="shared" si="119"/>
        <v>0</v>
      </c>
      <c r="I260" s="177"/>
      <c r="J260" s="118" t="str">
        <f>IF(OR(D260="",F260=""),"",(((HLOOKUP(D260,'Carrières et points'!$A$20:$AD$60,F260+2,FALSE)*'Carrières et points'!$C$7*'Carrières et points'!$C$9)+(HLOOKUP(D260,'Carrières et points'!$A$20:$AD$60,F260+2,FALSE)*'Carrières et points'!$C$13*'Carrières et points'!$C$15))*(1+'F0 - Données générales'!$I$4)+((HLOOKUP(D260,'Carrières et points'!$A$20:$AD$60,F260+2,FALSE)*'Carrières et points'!$C$7*'Carrières et points'!$C$9)+(HLOOKUP(D260,'Carrières et points'!$A$20:$AD$60,F260+2,FALSE)*'Carrières et points'!$C$13*'Carrières et points'!$C$15))/12*(1+'F0 - Données générales'!$L$13))*E260)</f>
        <v/>
      </c>
      <c r="K260" s="118" t="str">
        <f t="shared" si="120"/>
        <v/>
      </c>
      <c r="L260" s="109"/>
      <c r="M260" s="177"/>
      <c r="N260" s="118" t="str">
        <f t="shared" si="121"/>
        <v/>
      </c>
      <c r="O260" s="177"/>
      <c r="P260" s="177"/>
      <c r="Q260" s="177"/>
      <c r="R260" s="255" t="str">
        <f t="shared" si="122"/>
        <v/>
      </c>
      <c r="S260" s="120"/>
      <c r="T260" s="120"/>
      <c r="U260" s="120"/>
      <c r="V260" s="120"/>
      <c r="W260" s="120"/>
      <c r="X260" s="120"/>
      <c r="Y260" s="120"/>
      <c r="Z260" s="120"/>
      <c r="AA260" s="120"/>
      <c r="AB260" s="120"/>
      <c r="AC260" s="120"/>
      <c r="AD260" s="120"/>
      <c r="AE260" s="120"/>
      <c r="AF260" s="120"/>
      <c r="AG260" s="120"/>
      <c r="AH260" s="120"/>
      <c r="AI260" s="120"/>
      <c r="AK260" s="120"/>
      <c r="AL260" s="120"/>
      <c r="AM260" s="120"/>
      <c r="AN260" s="120"/>
      <c r="AO260" s="120"/>
      <c r="AP260" s="120"/>
      <c r="AQ260" s="120"/>
      <c r="AR260" s="120"/>
      <c r="AS260" s="120"/>
      <c r="AT260" s="120"/>
      <c r="AU260" s="120"/>
      <c r="AV260" s="120"/>
      <c r="AW260" s="120"/>
      <c r="AX260" s="120"/>
      <c r="AY260" s="120"/>
      <c r="AZ260" s="120"/>
      <c r="BS260" s="132"/>
      <c r="BT260" s="132"/>
      <c r="BU260" s="14"/>
      <c r="BV260" s="14"/>
    </row>
    <row r="261" spans="1:74" hidden="1" x14ac:dyDescent="0.3">
      <c r="A261" s="106">
        <v>255</v>
      </c>
      <c r="B261" s="106"/>
      <c r="C261" s="106"/>
      <c r="D261" s="106"/>
      <c r="E261" s="107"/>
      <c r="F261" s="108"/>
      <c r="G261" s="109"/>
      <c r="H261" s="110">
        <f t="shared" si="119"/>
        <v>0</v>
      </c>
      <c r="I261" s="177"/>
      <c r="J261" s="118" t="str">
        <f>IF(OR(D261="",F261=""),"",(((HLOOKUP(D261,'Carrières et points'!$A$20:$AD$60,F261+2,FALSE)*'Carrières et points'!$C$7*'Carrières et points'!$C$9)+(HLOOKUP(D261,'Carrières et points'!$A$20:$AD$60,F261+2,FALSE)*'Carrières et points'!$C$13*'Carrières et points'!$C$15))*(1+'F0 - Données générales'!$I$4)+((HLOOKUP(D261,'Carrières et points'!$A$20:$AD$60,F261+2,FALSE)*'Carrières et points'!$C$7*'Carrières et points'!$C$9)+(HLOOKUP(D261,'Carrières et points'!$A$20:$AD$60,F261+2,FALSE)*'Carrières et points'!$C$13*'Carrières et points'!$C$15))/12*(1+'F0 - Données générales'!$L$13))*E261)</f>
        <v/>
      </c>
      <c r="K261" s="118" t="str">
        <f t="shared" si="120"/>
        <v/>
      </c>
      <c r="L261" s="109"/>
      <c r="M261" s="177"/>
      <c r="N261" s="118" t="str">
        <f t="shared" si="121"/>
        <v/>
      </c>
      <c r="O261" s="177"/>
      <c r="P261" s="177"/>
      <c r="Q261" s="177"/>
      <c r="R261" s="255" t="str">
        <f t="shared" si="122"/>
        <v/>
      </c>
      <c r="S261" s="120"/>
      <c r="T261" s="120"/>
      <c r="U261" s="120"/>
      <c r="V261" s="120"/>
      <c r="W261" s="120"/>
      <c r="X261" s="120"/>
      <c r="Y261" s="120"/>
      <c r="Z261" s="120"/>
      <c r="AA261" s="120"/>
      <c r="AB261" s="120"/>
      <c r="AC261" s="120"/>
      <c r="AD261" s="120"/>
      <c r="AE261" s="120"/>
      <c r="AF261" s="120"/>
      <c r="AG261" s="120"/>
      <c r="AH261" s="120"/>
      <c r="AI261" s="120"/>
      <c r="AK261" s="120"/>
      <c r="AL261" s="120"/>
      <c r="AM261" s="120"/>
      <c r="AN261" s="120"/>
      <c r="AO261" s="120"/>
      <c r="AP261" s="120"/>
      <c r="AQ261" s="120"/>
      <c r="AR261" s="120"/>
      <c r="AS261" s="120"/>
      <c r="AT261" s="120"/>
      <c r="AU261" s="120"/>
      <c r="AV261" s="120"/>
      <c r="AW261" s="120"/>
      <c r="AX261" s="120"/>
      <c r="AY261" s="120"/>
      <c r="AZ261" s="120"/>
      <c r="BS261" s="14"/>
      <c r="BT261" s="14"/>
      <c r="BV261" s="14"/>
    </row>
    <row r="262" spans="1:74" hidden="1" x14ac:dyDescent="0.3">
      <c r="A262" s="106">
        <v>256</v>
      </c>
      <c r="B262" s="106"/>
      <c r="C262" s="106"/>
      <c r="D262" s="106"/>
      <c r="E262" s="107"/>
      <c r="F262" s="108"/>
      <c r="G262" s="109"/>
      <c r="H262" s="110">
        <f t="shared" si="119"/>
        <v>0</v>
      </c>
      <c r="I262" s="177"/>
      <c r="J262" s="118" t="str">
        <f>IF(OR(D262="",F262=""),"",(((HLOOKUP(D262,'Carrières et points'!$A$20:$AD$60,F262+2,FALSE)*'Carrières et points'!$C$7*'Carrières et points'!$C$9)+(HLOOKUP(D262,'Carrières et points'!$A$20:$AD$60,F262+2,FALSE)*'Carrières et points'!$C$13*'Carrières et points'!$C$15))*(1+'F0 - Données générales'!$I$4)+((HLOOKUP(D262,'Carrières et points'!$A$20:$AD$60,F262+2,FALSE)*'Carrières et points'!$C$7*'Carrières et points'!$C$9)+(HLOOKUP(D262,'Carrières et points'!$A$20:$AD$60,F262+2,FALSE)*'Carrières et points'!$C$13*'Carrières et points'!$C$15))/12*(1+'F0 - Données générales'!$L$13))*E262)</f>
        <v/>
      </c>
      <c r="K262" s="118" t="str">
        <f t="shared" si="120"/>
        <v/>
      </c>
      <c r="L262" s="109"/>
      <c r="M262" s="177"/>
      <c r="N262" s="118" t="str">
        <f t="shared" si="121"/>
        <v/>
      </c>
      <c r="O262" s="177"/>
      <c r="P262" s="177"/>
      <c r="Q262" s="177"/>
      <c r="R262" s="255" t="str">
        <f t="shared" si="122"/>
        <v/>
      </c>
      <c r="S262" s="120"/>
      <c r="T262" s="120"/>
      <c r="U262" s="120"/>
      <c r="V262" s="120"/>
      <c r="W262" s="120"/>
      <c r="X262" s="120"/>
      <c r="Y262" s="120"/>
      <c r="Z262" s="120"/>
      <c r="AA262" s="120"/>
      <c r="AB262" s="120"/>
      <c r="AC262" s="120"/>
      <c r="AD262" s="120"/>
      <c r="AE262" s="120"/>
      <c r="AF262" s="120"/>
      <c r="AG262" s="120"/>
      <c r="AH262" s="120"/>
      <c r="AI262" s="120"/>
      <c r="AK262" s="120"/>
      <c r="AL262" s="120"/>
      <c r="AM262" s="120"/>
      <c r="AN262" s="120"/>
      <c r="AO262" s="120"/>
      <c r="AP262" s="120"/>
      <c r="AQ262" s="120"/>
      <c r="AR262" s="120"/>
      <c r="AS262" s="120"/>
      <c r="AT262" s="120"/>
      <c r="AU262" s="120"/>
      <c r="AV262" s="120"/>
      <c r="AW262" s="120"/>
      <c r="AX262" s="120"/>
      <c r="AY262" s="120"/>
      <c r="AZ262" s="120"/>
      <c r="BU262" s="14"/>
      <c r="BV262" s="14"/>
    </row>
    <row r="263" spans="1:74" ht="16.5" hidden="1" customHeight="1" x14ac:dyDescent="0.3">
      <c r="A263" s="106">
        <v>257</v>
      </c>
      <c r="B263" s="106"/>
      <c r="C263" s="106"/>
      <c r="D263" s="106"/>
      <c r="E263" s="107"/>
      <c r="F263" s="108"/>
      <c r="G263" s="109"/>
      <c r="H263" s="110">
        <f t="shared" si="119"/>
        <v>0</v>
      </c>
      <c r="I263" s="177"/>
      <c r="J263" s="118" t="str">
        <f>IF(OR(D263="",F263=""),"",(((HLOOKUP(D263,'Carrières et points'!$A$20:$AD$60,F263+2,FALSE)*'Carrières et points'!$C$7*'Carrières et points'!$C$9)+(HLOOKUP(D263,'Carrières et points'!$A$20:$AD$60,F263+2,FALSE)*'Carrières et points'!$C$13*'Carrières et points'!$C$15))*(1+'F0 - Données générales'!$I$4)+((HLOOKUP(D263,'Carrières et points'!$A$20:$AD$60,F263+2,FALSE)*'Carrières et points'!$C$7*'Carrières et points'!$C$9)+(HLOOKUP(D263,'Carrières et points'!$A$20:$AD$60,F263+2,FALSE)*'Carrières et points'!$C$13*'Carrières et points'!$C$15))/12*(1+'F0 - Données générales'!$L$13))*E263)</f>
        <v/>
      </c>
      <c r="K263" s="118" t="str">
        <f t="shared" si="120"/>
        <v/>
      </c>
      <c r="L263" s="109"/>
      <c r="M263" s="177"/>
      <c r="N263" s="118" t="str">
        <f t="shared" si="121"/>
        <v/>
      </c>
      <c r="O263" s="177"/>
      <c r="P263" s="177"/>
      <c r="Q263" s="177"/>
      <c r="R263" s="255" t="str">
        <f t="shared" si="122"/>
        <v/>
      </c>
      <c r="S263" s="120"/>
      <c r="T263" s="120"/>
      <c r="U263" s="120"/>
      <c r="V263" s="120"/>
      <c r="W263" s="120"/>
      <c r="X263" s="120"/>
      <c r="Y263" s="120"/>
      <c r="Z263" s="120"/>
      <c r="AA263" s="120"/>
      <c r="AB263" s="120"/>
      <c r="AC263" s="120"/>
      <c r="AD263" s="120"/>
      <c r="AE263" s="120"/>
      <c r="AF263" s="120"/>
      <c r="AG263" s="120"/>
      <c r="AH263" s="120"/>
      <c r="AI263" s="120"/>
      <c r="AK263" s="120"/>
      <c r="AL263" s="120"/>
      <c r="AM263" s="120"/>
      <c r="AN263" s="120"/>
      <c r="AO263" s="120"/>
      <c r="AP263" s="120"/>
      <c r="AQ263" s="120"/>
      <c r="AR263" s="120"/>
      <c r="AS263" s="120"/>
      <c r="AT263" s="120"/>
      <c r="AU263" s="120"/>
      <c r="AV263" s="120"/>
      <c r="AW263" s="120"/>
      <c r="AX263" s="120"/>
      <c r="AY263" s="120"/>
      <c r="AZ263" s="120"/>
      <c r="BS263" s="14"/>
      <c r="BT263" s="14"/>
      <c r="BU263" s="14"/>
      <c r="BV263" s="14"/>
    </row>
    <row r="264" spans="1:74" hidden="1" x14ac:dyDescent="0.3">
      <c r="A264" s="106">
        <v>258</v>
      </c>
      <c r="B264" s="106"/>
      <c r="C264" s="106"/>
      <c r="D264" s="106"/>
      <c r="E264" s="107"/>
      <c r="F264" s="108"/>
      <c r="G264" s="109"/>
      <c r="H264" s="110">
        <f t="shared" si="119"/>
        <v>0</v>
      </c>
      <c r="I264" s="177"/>
      <c r="J264" s="118" t="str">
        <f>IF(OR(D264="",F264=""),"",(((HLOOKUP(D264,'Carrières et points'!$A$20:$AD$60,F264+2,FALSE)*'Carrières et points'!$C$7*'Carrières et points'!$C$9)+(HLOOKUP(D264,'Carrières et points'!$A$20:$AD$60,F264+2,FALSE)*'Carrières et points'!$C$13*'Carrières et points'!$C$15))*(1+'F0 - Données générales'!$I$4)+((HLOOKUP(D264,'Carrières et points'!$A$20:$AD$60,F264+2,FALSE)*'Carrières et points'!$C$7*'Carrières et points'!$C$9)+(HLOOKUP(D264,'Carrières et points'!$A$20:$AD$60,F264+2,FALSE)*'Carrières et points'!$C$13*'Carrières et points'!$C$15))/12*(1+'F0 - Données générales'!$L$13))*E264)</f>
        <v/>
      </c>
      <c r="K264" s="118" t="str">
        <f t="shared" si="120"/>
        <v/>
      </c>
      <c r="L264" s="109"/>
      <c r="M264" s="177"/>
      <c r="N264" s="118" t="str">
        <f t="shared" si="121"/>
        <v/>
      </c>
      <c r="O264" s="177"/>
      <c r="P264" s="177"/>
      <c r="Q264" s="177"/>
      <c r="R264" s="255" t="str">
        <f t="shared" si="122"/>
        <v/>
      </c>
      <c r="S264" s="120"/>
      <c r="T264" s="120"/>
      <c r="U264" s="120"/>
      <c r="V264" s="120"/>
      <c r="W264" s="120"/>
      <c r="X264" s="120"/>
      <c r="Y264" s="120"/>
      <c r="Z264" s="120"/>
      <c r="AA264" s="120"/>
      <c r="AB264" s="120"/>
      <c r="AC264" s="120"/>
      <c r="AD264" s="120"/>
      <c r="AE264" s="120"/>
      <c r="AF264" s="120"/>
      <c r="AG264" s="120"/>
      <c r="AH264" s="120"/>
      <c r="AI264" s="120"/>
      <c r="AK264" s="120"/>
      <c r="AL264" s="120"/>
      <c r="AM264" s="120"/>
      <c r="AN264" s="120"/>
      <c r="AO264" s="120"/>
      <c r="AP264" s="120"/>
      <c r="AQ264" s="120"/>
      <c r="AR264" s="120"/>
      <c r="AS264" s="120"/>
      <c r="AT264" s="120"/>
      <c r="AU264" s="120"/>
      <c r="AV264" s="120"/>
      <c r="AW264" s="120"/>
      <c r="AX264" s="120"/>
      <c r="AY264" s="120"/>
      <c r="AZ264" s="120"/>
      <c r="BS264" s="14"/>
      <c r="BT264" s="14"/>
      <c r="BU264" s="14"/>
      <c r="BV264" s="14"/>
    </row>
    <row r="265" spans="1:74" hidden="1" x14ac:dyDescent="0.3">
      <c r="A265" s="106">
        <v>259</v>
      </c>
      <c r="B265" s="106"/>
      <c r="C265" s="106"/>
      <c r="D265" s="106"/>
      <c r="E265" s="107"/>
      <c r="F265" s="108"/>
      <c r="G265" s="109"/>
      <c r="H265" s="110">
        <f t="shared" si="119"/>
        <v>0</v>
      </c>
      <c r="I265" s="177"/>
      <c r="J265" s="118" t="str">
        <f>IF(OR(D265="",F265=""),"",(((HLOOKUP(D265,'Carrières et points'!$A$20:$AD$60,F265+2,FALSE)*'Carrières et points'!$C$7*'Carrières et points'!$C$9)+(HLOOKUP(D265,'Carrières et points'!$A$20:$AD$60,F265+2,FALSE)*'Carrières et points'!$C$13*'Carrières et points'!$C$15))*(1+'F0 - Données générales'!$I$4)+((HLOOKUP(D265,'Carrières et points'!$A$20:$AD$60,F265+2,FALSE)*'Carrières et points'!$C$7*'Carrières et points'!$C$9)+(HLOOKUP(D265,'Carrières et points'!$A$20:$AD$60,F265+2,FALSE)*'Carrières et points'!$C$13*'Carrières et points'!$C$15))/12*(1+'F0 - Données générales'!$L$13))*E265)</f>
        <v/>
      </c>
      <c r="K265" s="118" t="str">
        <f t="shared" si="120"/>
        <v/>
      </c>
      <c r="L265" s="109"/>
      <c r="M265" s="177"/>
      <c r="N265" s="118" t="str">
        <f t="shared" si="121"/>
        <v/>
      </c>
      <c r="O265" s="177"/>
      <c r="P265" s="177"/>
      <c r="Q265" s="177"/>
      <c r="R265" s="255" t="str">
        <f t="shared" si="122"/>
        <v/>
      </c>
      <c r="S265" s="120"/>
      <c r="T265" s="120"/>
      <c r="U265" s="120"/>
      <c r="V265" s="120"/>
      <c r="W265" s="120"/>
      <c r="X265" s="120"/>
      <c r="Y265" s="120"/>
      <c r="Z265" s="120"/>
      <c r="AA265" s="120"/>
      <c r="AB265" s="120"/>
      <c r="AC265" s="120"/>
      <c r="AD265" s="120"/>
      <c r="AE265" s="120"/>
      <c r="AF265" s="120"/>
      <c r="AG265" s="120"/>
      <c r="AH265" s="120"/>
      <c r="AI265" s="120"/>
      <c r="AK265" s="120"/>
      <c r="AL265" s="120"/>
      <c r="AM265" s="120"/>
      <c r="AN265" s="120"/>
      <c r="AO265" s="120"/>
      <c r="AP265" s="120"/>
      <c r="AQ265" s="120"/>
      <c r="AR265" s="120"/>
      <c r="AS265" s="120"/>
      <c r="AT265" s="120"/>
      <c r="AU265" s="120"/>
      <c r="AV265" s="120"/>
      <c r="AW265" s="120"/>
      <c r="AX265" s="120"/>
      <c r="AY265" s="120"/>
      <c r="AZ265" s="120"/>
      <c r="BS265" s="14"/>
      <c r="BT265" s="14"/>
      <c r="BU265" s="14"/>
      <c r="BV265" s="14"/>
    </row>
    <row r="266" spans="1:74" hidden="1" x14ac:dyDescent="0.3">
      <c r="A266" s="106">
        <v>260</v>
      </c>
      <c r="B266" s="106"/>
      <c r="C266" s="106"/>
      <c r="D266" s="106"/>
      <c r="E266" s="107"/>
      <c r="F266" s="108"/>
      <c r="G266" s="109"/>
      <c r="H266" s="110">
        <f t="shared" si="119"/>
        <v>0</v>
      </c>
      <c r="I266" s="177"/>
      <c r="J266" s="118" t="str">
        <f>IF(OR(D266="",F266=""),"",(((HLOOKUP(D266,'Carrières et points'!$A$20:$AD$60,F266+2,FALSE)*'Carrières et points'!$C$7*'Carrières et points'!$C$9)+(HLOOKUP(D266,'Carrières et points'!$A$20:$AD$60,F266+2,FALSE)*'Carrières et points'!$C$13*'Carrières et points'!$C$15))*(1+'F0 - Données générales'!$I$4)+((HLOOKUP(D266,'Carrières et points'!$A$20:$AD$60,F266+2,FALSE)*'Carrières et points'!$C$7*'Carrières et points'!$C$9)+(HLOOKUP(D266,'Carrières et points'!$A$20:$AD$60,F266+2,FALSE)*'Carrières et points'!$C$13*'Carrières et points'!$C$15))/12*(1+'F0 - Données générales'!$L$13))*E266)</f>
        <v/>
      </c>
      <c r="K266" s="118" t="str">
        <f t="shared" si="120"/>
        <v/>
      </c>
      <c r="L266" s="109"/>
      <c r="M266" s="177"/>
      <c r="N266" s="118" t="str">
        <f t="shared" si="121"/>
        <v/>
      </c>
      <c r="O266" s="177"/>
      <c r="P266" s="177"/>
      <c r="Q266" s="177"/>
      <c r="R266" s="255" t="str">
        <f t="shared" si="122"/>
        <v/>
      </c>
      <c r="S266" s="120"/>
      <c r="T266" s="120"/>
      <c r="U266" s="120"/>
      <c r="V266" s="120"/>
      <c r="W266" s="120"/>
      <c r="X266" s="120"/>
      <c r="Y266" s="120"/>
      <c r="Z266" s="120"/>
      <c r="AA266" s="120"/>
      <c r="AB266" s="120"/>
      <c r="AC266" s="120"/>
      <c r="AD266" s="120"/>
      <c r="AE266" s="120"/>
      <c r="AF266" s="120"/>
      <c r="AG266" s="120"/>
      <c r="AH266" s="120"/>
      <c r="AI266" s="120"/>
      <c r="AK266" s="120"/>
      <c r="AL266" s="120"/>
      <c r="AM266" s="120"/>
      <c r="AN266" s="120"/>
      <c r="AO266" s="120"/>
      <c r="AP266" s="120"/>
      <c r="AQ266" s="120"/>
      <c r="AR266" s="120"/>
      <c r="AS266" s="120"/>
      <c r="AT266" s="120"/>
      <c r="AU266" s="120"/>
      <c r="AV266" s="120"/>
      <c r="AW266" s="120"/>
      <c r="AX266" s="120"/>
      <c r="AY266" s="120"/>
      <c r="AZ266" s="120"/>
      <c r="BS266" s="14"/>
      <c r="BT266" s="14"/>
      <c r="BU266" s="14"/>
      <c r="BV266" s="132"/>
    </row>
    <row r="267" spans="1:74" hidden="1" x14ac:dyDescent="0.3">
      <c r="A267" s="106">
        <v>261</v>
      </c>
      <c r="B267" s="106"/>
      <c r="C267" s="106"/>
      <c r="D267" s="106"/>
      <c r="E267" s="107"/>
      <c r="F267" s="108"/>
      <c r="G267" s="109"/>
      <c r="H267" s="110">
        <f t="shared" si="119"/>
        <v>0</v>
      </c>
      <c r="I267" s="177"/>
      <c r="J267" s="118" t="str">
        <f>IF(OR(D267="",F267=""),"",(((HLOOKUP(D267,'Carrières et points'!$A$20:$AD$60,F267+2,FALSE)*'Carrières et points'!$C$7*'Carrières et points'!$C$9)+(HLOOKUP(D267,'Carrières et points'!$A$20:$AD$60,F267+2,FALSE)*'Carrières et points'!$C$13*'Carrières et points'!$C$15))*(1+'F0 - Données générales'!$I$4)+((HLOOKUP(D267,'Carrières et points'!$A$20:$AD$60,F267+2,FALSE)*'Carrières et points'!$C$7*'Carrières et points'!$C$9)+(HLOOKUP(D267,'Carrières et points'!$A$20:$AD$60,F267+2,FALSE)*'Carrières et points'!$C$13*'Carrières et points'!$C$15))/12*(1+'F0 - Données générales'!$L$13))*E267)</f>
        <v/>
      </c>
      <c r="K267" s="118" t="str">
        <f t="shared" si="120"/>
        <v/>
      </c>
      <c r="L267" s="109"/>
      <c r="M267" s="177"/>
      <c r="N267" s="118" t="str">
        <f t="shared" si="121"/>
        <v/>
      </c>
      <c r="O267" s="177"/>
      <c r="P267" s="177"/>
      <c r="Q267" s="177"/>
      <c r="R267" s="255" t="str">
        <f t="shared" si="122"/>
        <v/>
      </c>
      <c r="S267" s="120"/>
      <c r="T267" s="120"/>
      <c r="U267" s="120"/>
      <c r="V267" s="120"/>
      <c r="W267" s="120"/>
      <c r="X267" s="120"/>
      <c r="Y267" s="120"/>
      <c r="Z267" s="120"/>
      <c r="AA267" s="120"/>
      <c r="AB267" s="120"/>
      <c r="AC267" s="120"/>
      <c r="AD267" s="120"/>
      <c r="AE267" s="120"/>
      <c r="AF267" s="120"/>
      <c r="AG267" s="120"/>
      <c r="AH267" s="120"/>
      <c r="AI267" s="120"/>
      <c r="AK267" s="120"/>
      <c r="AL267" s="120"/>
      <c r="AM267" s="120"/>
      <c r="AN267" s="120"/>
      <c r="AO267" s="120"/>
      <c r="AP267" s="120"/>
      <c r="AQ267" s="120"/>
      <c r="AR267" s="120"/>
      <c r="AS267" s="120"/>
      <c r="AT267" s="120"/>
      <c r="AU267" s="120"/>
      <c r="AV267" s="120"/>
      <c r="AW267" s="120"/>
      <c r="AX267" s="120"/>
      <c r="AY267" s="120"/>
      <c r="AZ267" s="120"/>
      <c r="BS267" s="14"/>
      <c r="BT267" s="14"/>
      <c r="BU267" s="14"/>
      <c r="BV267" s="14"/>
    </row>
    <row r="268" spans="1:74" hidden="1" x14ac:dyDescent="0.3">
      <c r="A268" s="106">
        <v>262</v>
      </c>
      <c r="B268" s="106"/>
      <c r="C268" s="106"/>
      <c r="D268" s="106"/>
      <c r="E268" s="107"/>
      <c r="F268" s="108"/>
      <c r="G268" s="109"/>
      <c r="H268" s="110">
        <f t="shared" si="119"/>
        <v>0</v>
      </c>
      <c r="I268" s="177"/>
      <c r="J268" s="118" t="str">
        <f>IF(OR(D268="",F268=""),"",(((HLOOKUP(D268,'Carrières et points'!$A$20:$AD$60,F268+2,FALSE)*'Carrières et points'!$C$7*'Carrières et points'!$C$9)+(HLOOKUP(D268,'Carrières et points'!$A$20:$AD$60,F268+2,FALSE)*'Carrières et points'!$C$13*'Carrières et points'!$C$15))*(1+'F0 - Données générales'!$I$4)+((HLOOKUP(D268,'Carrières et points'!$A$20:$AD$60,F268+2,FALSE)*'Carrières et points'!$C$7*'Carrières et points'!$C$9)+(HLOOKUP(D268,'Carrières et points'!$A$20:$AD$60,F268+2,FALSE)*'Carrières et points'!$C$13*'Carrières et points'!$C$15))/12*(1+'F0 - Données générales'!$L$13))*E268)</f>
        <v/>
      </c>
      <c r="K268" s="118" t="str">
        <f t="shared" si="120"/>
        <v/>
      </c>
      <c r="L268" s="109"/>
      <c r="M268" s="177"/>
      <c r="N268" s="118" t="str">
        <f t="shared" si="121"/>
        <v/>
      </c>
      <c r="O268" s="177"/>
      <c r="P268" s="177"/>
      <c r="Q268" s="177"/>
      <c r="R268" s="255" t="str">
        <f t="shared" si="122"/>
        <v/>
      </c>
      <c r="S268" s="120"/>
      <c r="T268" s="120"/>
      <c r="U268" s="120"/>
      <c r="V268" s="120"/>
      <c r="W268" s="120"/>
      <c r="X268" s="120"/>
      <c r="Y268" s="120"/>
      <c r="Z268" s="120"/>
      <c r="AA268" s="120"/>
      <c r="AB268" s="120"/>
      <c r="AC268" s="120"/>
      <c r="AD268" s="120"/>
      <c r="AE268" s="120"/>
      <c r="AF268" s="120"/>
      <c r="AG268" s="120"/>
      <c r="AH268" s="120"/>
      <c r="AI268" s="120"/>
      <c r="AK268" s="120"/>
      <c r="AL268" s="120"/>
      <c r="AM268" s="120"/>
      <c r="AN268" s="120"/>
      <c r="AO268" s="120"/>
      <c r="AP268" s="120"/>
      <c r="AQ268" s="120"/>
      <c r="AR268" s="120"/>
      <c r="AS268" s="120"/>
      <c r="AT268" s="120"/>
      <c r="AU268" s="120"/>
      <c r="AV268" s="120"/>
      <c r="AW268" s="120"/>
      <c r="AX268" s="120"/>
      <c r="AY268" s="120"/>
      <c r="AZ268" s="120"/>
      <c r="BS268" s="14"/>
      <c r="BT268" s="14"/>
      <c r="BU268" s="14"/>
      <c r="BV268" s="132"/>
    </row>
    <row r="269" spans="1:74" hidden="1" x14ac:dyDescent="0.3">
      <c r="A269" s="106">
        <v>263</v>
      </c>
      <c r="B269" s="106"/>
      <c r="C269" s="106"/>
      <c r="D269" s="106"/>
      <c r="E269" s="107"/>
      <c r="F269" s="108"/>
      <c r="G269" s="109"/>
      <c r="H269" s="110">
        <f t="shared" si="119"/>
        <v>0</v>
      </c>
      <c r="I269" s="177"/>
      <c r="J269" s="118" t="str">
        <f>IF(OR(D269="",F269=""),"",(((HLOOKUP(D269,'Carrières et points'!$A$20:$AD$60,F269+2,FALSE)*'Carrières et points'!$C$7*'Carrières et points'!$C$9)+(HLOOKUP(D269,'Carrières et points'!$A$20:$AD$60,F269+2,FALSE)*'Carrières et points'!$C$13*'Carrières et points'!$C$15))*(1+'F0 - Données générales'!$I$4)+((HLOOKUP(D269,'Carrières et points'!$A$20:$AD$60,F269+2,FALSE)*'Carrières et points'!$C$7*'Carrières et points'!$C$9)+(HLOOKUP(D269,'Carrières et points'!$A$20:$AD$60,F269+2,FALSE)*'Carrières et points'!$C$13*'Carrières et points'!$C$15))/12*(1+'F0 - Données générales'!$L$13))*E269)</f>
        <v/>
      </c>
      <c r="K269" s="118" t="str">
        <f t="shared" si="120"/>
        <v/>
      </c>
      <c r="L269" s="109"/>
      <c r="M269" s="177"/>
      <c r="N269" s="118" t="str">
        <f t="shared" si="121"/>
        <v/>
      </c>
      <c r="O269" s="177"/>
      <c r="P269" s="177"/>
      <c r="Q269" s="177"/>
      <c r="R269" s="255" t="str">
        <f t="shared" si="122"/>
        <v/>
      </c>
      <c r="S269" s="120"/>
      <c r="T269" s="120"/>
      <c r="U269" s="120"/>
      <c r="V269" s="120"/>
      <c r="W269" s="120"/>
      <c r="X269" s="120"/>
      <c r="Y269" s="120"/>
      <c r="Z269" s="120"/>
      <c r="AA269" s="120"/>
      <c r="AB269" s="120"/>
      <c r="AC269" s="120"/>
      <c r="AD269" s="120"/>
      <c r="AE269" s="120"/>
      <c r="AF269" s="120"/>
      <c r="AG269" s="120"/>
      <c r="AH269" s="120"/>
      <c r="AI269" s="120"/>
      <c r="AK269" s="120"/>
      <c r="AL269" s="120"/>
      <c r="AM269" s="120"/>
      <c r="AN269" s="120"/>
      <c r="AO269" s="120"/>
      <c r="AP269" s="120"/>
      <c r="AQ269" s="120"/>
      <c r="AR269" s="120"/>
      <c r="AS269" s="120"/>
      <c r="AT269" s="120"/>
      <c r="AU269" s="120"/>
      <c r="AV269" s="120"/>
      <c r="AW269" s="120"/>
      <c r="AX269" s="120"/>
      <c r="AY269" s="120"/>
      <c r="AZ269" s="120"/>
      <c r="BS269" s="14"/>
      <c r="BT269" s="14"/>
      <c r="BU269" s="14"/>
      <c r="BV269" s="14"/>
    </row>
    <row r="270" spans="1:74" hidden="1" x14ac:dyDescent="0.3">
      <c r="A270" s="106">
        <v>264</v>
      </c>
      <c r="B270" s="106"/>
      <c r="C270" s="106"/>
      <c r="D270" s="106"/>
      <c r="E270" s="107"/>
      <c r="F270" s="108"/>
      <c r="G270" s="109"/>
      <c r="H270" s="110">
        <f t="shared" si="119"/>
        <v>0</v>
      </c>
      <c r="I270" s="177"/>
      <c r="J270" s="118" t="str">
        <f>IF(OR(D270="",F270=""),"",(((HLOOKUP(D270,'Carrières et points'!$A$20:$AD$60,F270+2,FALSE)*'Carrières et points'!$C$7*'Carrières et points'!$C$9)+(HLOOKUP(D270,'Carrières et points'!$A$20:$AD$60,F270+2,FALSE)*'Carrières et points'!$C$13*'Carrières et points'!$C$15))*(1+'F0 - Données générales'!$I$4)+((HLOOKUP(D270,'Carrières et points'!$A$20:$AD$60,F270+2,FALSE)*'Carrières et points'!$C$7*'Carrières et points'!$C$9)+(HLOOKUP(D270,'Carrières et points'!$A$20:$AD$60,F270+2,FALSE)*'Carrières et points'!$C$13*'Carrières et points'!$C$15))/12*(1+'F0 - Données générales'!$L$13))*E270)</f>
        <v/>
      </c>
      <c r="K270" s="118" t="str">
        <f t="shared" si="120"/>
        <v/>
      </c>
      <c r="L270" s="109"/>
      <c r="M270" s="177"/>
      <c r="N270" s="118" t="str">
        <f t="shared" si="121"/>
        <v/>
      </c>
      <c r="O270" s="177"/>
      <c r="P270" s="177"/>
      <c r="Q270" s="177"/>
      <c r="R270" s="255" t="str">
        <f t="shared" si="122"/>
        <v/>
      </c>
      <c r="S270" s="120"/>
      <c r="T270" s="120"/>
      <c r="U270" s="120"/>
      <c r="V270" s="120"/>
      <c r="W270" s="120"/>
      <c r="X270" s="120"/>
      <c r="Y270" s="120"/>
      <c r="Z270" s="120"/>
      <c r="AA270" s="120"/>
      <c r="AB270" s="120"/>
      <c r="AC270" s="120"/>
      <c r="AD270" s="120"/>
      <c r="AE270" s="120"/>
      <c r="AF270" s="120"/>
      <c r="AG270" s="120"/>
      <c r="AH270" s="120"/>
      <c r="AI270" s="120"/>
      <c r="AK270" s="120"/>
      <c r="AL270" s="120"/>
      <c r="AM270" s="120"/>
      <c r="AN270" s="120"/>
      <c r="AO270" s="120"/>
      <c r="AP270" s="120"/>
      <c r="AQ270" s="120"/>
      <c r="AR270" s="120"/>
      <c r="AS270" s="120"/>
      <c r="AT270" s="120"/>
      <c r="AU270" s="120"/>
      <c r="AV270" s="120"/>
      <c r="AW270" s="120"/>
      <c r="AX270" s="120"/>
      <c r="AY270" s="120"/>
      <c r="AZ270" s="120"/>
      <c r="BS270" s="14"/>
      <c r="BT270" s="14"/>
      <c r="BU270" s="14"/>
    </row>
    <row r="271" spans="1:74" hidden="1" x14ac:dyDescent="0.3">
      <c r="A271" s="106">
        <v>265</v>
      </c>
      <c r="B271" s="106"/>
      <c r="C271" s="106"/>
      <c r="D271" s="106"/>
      <c r="E271" s="107"/>
      <c r="F271" s="108"/>
      <c r="G271" s="109"/>
      <c r="H271" s="110">
        <f t="shared" si="119"/>
        <v>0</v>
      </c>
      <c r="I271" s="177"/>
      <c r="J271" s="118" t="str">
        <f>IF(OR(D271="",F271=""),"",(((HLOOKUP(D271,'Carrières et points'!$A$20:$AD$60,F271+2,FALSE)*'Carrières et points'!$C$7*'Carrières et points'!$C$9)+(HLOOKUP(D271,'Carrières et points'!$A$20:$AD$60,F271+2,FALSE)*'Carrières et points'!$C$13*'Carrières et points'!$C$15))*(1+'F0 - Données générales'!$I$4)+((HLOOKUP(D271,'Carrières et points'!$A$20:$AD$60,F271+2,FALSE)*'Carrières et points'!$C$7*'Carrières et points'!$C$9)+(HLOOKUP(D271,'Carrières et points'!$A$20:$AD$60,F271+2,FALSE)*'Carrières et points'!$C$13*'Carrières et points'!$C$15))/12*(1+'F0 - Données générales'!$L$13))*E271)</f>
        <v/>
      </c>
      <c r="K271" s="118" t="str">
        <f t="shared" si="120"/>
        <v/>
      </c>
      <c r="L271" s="109"/>
      <c r="M271" s="177"/>
      <c r="N271" s="118" t="str">
        <f t="shared" si="121"/>
        <v/>
      </c>
      <c r="O271" s="177"/>
      <c r="P271" s="177"/>
      <c r="Q271" s="177"/>
      <c r="R271" s="255" t="str">
        <f t="shared" si="122"/>
        <v/>
      </c>
      <c r="S271" s="120"/>
      <c r="T271" s="120"/>
      <c r="U271" s="120"/>
      <c r="V271" s="120"/>
      <c r="W271" s="120"/>
      <c r="X271" s="120"/>
      <c r="Y271" s="120"/>
      <c r="Z271" s="120"/>
      <c r="AA271" s="120"/>
      <c r="AB271" s="120"/>
      <c r="AC271" s="120"/>
      <c r="AD271" s="120"/>
      <c r="AE271" s="120"/>
      <c r="AF271" s="120"/>
      <c r="AG271" s="120"/>
      <c r="AH271" s="120"/>
      <c r="AI271" s="120"/>
      <c r="AK271" s="120"/>
      <c r="AL271" s="120"/>
      <c r="AM271" s="120"/>
      <c r="AN271" s="120"/>
      <c r="AO271" s="120"/>
      <c r="AP271" s="120"/>
      <c r="AQ271" s="120"/>
      <c r="AR271" s="120"/>
      <c r="AS271" s="120"/>
      <c r="AT271" s="120"/>
      <c r="AU271" s="120"/>
      <c r="AV271" s="120"/>
      <c r="AW271" s="120"/>
      <c r="AX271" s="120"/>
      <c r="AY271" s="120"/>
      <c r="AZ271" s="120"/>
      <c r="BS271" s="14"/>
      <c r="BT271" s="14"/>
      <c r="BU271" s="14"/>
      <c r="BV271" s="14"/>
    </row>
    <row r="272" spans="1:74" hidden="1" x14ac:dyDescent="0.3">
      <c r="A272" s="106">
        <v>266</v>
      </c>
      <c r="B272" s="106"/>
      <c r="C272" s="106"/>
      <c r="D272" s="106"/>
      <c r="E272" s="107"/>
      <c r="F272" s="108"/>
      <c r="G272" s="109"/>
      <c r="H272" s="110">
        <f t="shared" si="119"/>
        <v>0</v>
      </c>
      <c r="I272" s="177"/>
      <c r="J272" s="118" t="str">
        <f>IF(OR(D272="",F272=""),"",(((HLOOKUP(D272,'Carrières et points'!$A$20:$AD$60,F272+2,FALSE)*'Carrières et points'!$C$7*'Carrières et points'!$C$9)+(HLOOKUP(D272,'Carrières et points'!$A$20:$AD$60,F272+2,FALSE)*'Carrières et points'!$C$13*'Carrières et points'!$C$15))*(1+'F0 - Données générales'!$I$4)+((HLOOKUP(D272,'Carrières et points'!$A$20:$AD$60,F272+2,FALSE)*'Carrières et points'!$C$7*'Carrières et points'!$C$9)+(HLOOKUP(D272,'Carrières et points'!$A$20:$AD$60,F272+2,FALSE)*'Carrières et points'!$C$13*'Carrières et points'!$C$15))/12*(1+'F0 - Données générales'!$L$13))*E272)</f>
        <v/>
      </c>
      <c r="K272" s="118" t="str">
        <f t="shared" si="120"/>
        <v/>
      </c>
      <c r="L272" s="109"/>
      <c r="M272" s="177"/>
      <c r="N272" s="118" t="str">
        <f t="shared" si="121"/>
        <v/>
      </c>
      <c r="O272" s="177"/>
      <c r="P272" s="177"/>
      <c r="Q272" s="177"/>
      <c r="R272" s="255" t="str">
        <f t="shared" si="122"/>
        <v/>
      </c>
      <c r="S272" s="120"/>
      <c r="T272" s="120"/>
      <c r="U272" s="120"/>
      <c r="V272" s="120"/>
      <c r="W272" s="120"/>
      <c r="X272" s="120"/>
      <c r="Y272" s="120"/>
      <c r="Z272" s="120"/>
      <c r="AA272" s="120"/>
      <c r="AB272" s="120"/>
      <c r="AC272" s="120"/>
      <c r="AD272" s="120"/>
      <c r="AE272" s="120"/>
      <c r="AF272" s="120"/>
      <c r="AG272" s="120"/>
      <c r="AH272" s="120"/>
      <c r="AI272" s="120"/>
      <c r="AK272" s="120"/>
      <c r="AL272" s="120"/>
      <c r="AM272" s="120"/>
      <c r="AN272" s="120"/>
      <c r="AO272" s="120"/>
      <c r="AP272" s="120"/>
      <c r="AQ272" s="120"/>
      <c r="AR272" s="120"/>
      <c r="AS272" s="120"/>
      <c r="AT272" s="120"/>
      <c r="AU272" s="120"/>
      <c r="AV272" s="120"/>
      <c r="AW272" s="120"/>
      <c r="AX272" s="120"/>
      <c r="AY272" s="120"/>
      <c r="AZ272" s="120"/>
      <c r="BS272" s="14"/>
      <c r="BT272" s="14"/>
      <c r="BU272" s="14"/>
      <c r="BV272" s="14"/>
    </row>
    <row r="273" spans="1:74" hidden="1" x14ac:dyDescent="0.3">
      <c r="A273" s="106">
        <v>267</v>
      </c>
      <c r="B273" s="106"/>
      <c r="C273" s="106"/>
      <c r="D273" s="106"/>
      <c r="E273" s="107"/>
      <c r="F273" s="108"/>
      <c r="G273" s="109"/>
      <c r="H273" s="110">
        <f t="shared" si="119"/>
        <v>0</v>
      </c>
      <c r="I273" s="177"/>
      <c r="J273" s="118" t="str">
        <f>IF(OR(D273="",F273=""),"",(((HLOOKUP(D273,'Carrières et points'!$A$20:$AD$60,F273+2,FALSE)*'Carrières et points'!$C$7*'Carrières et points'!$C$9)+(HLOOKUP(D273,'Carrières et points'!$A$20:$AD$60,F273+2,FALSE)*'Carrières et points'!$C$13*'Carrières et points'!$C$15))*(1+'F0 - Données générales'!$I$4)+((HLOOKUP(D273,'Carrières et points'!$A$20:$AD$60,F273+2,FALSE)*'Carrières et points'!$C$7*'Carrières et points'!$C$9)+(HLOOKUP(D273,'Carrières et points'!$A$20:$AD$60,F273+2,FALSE)*'Carrières et points'!$C$13*'Carrières et points'!$C$15))/12*(1+'F0 - Données générales'!$L$13))*E273)</f>
        <v/>
      </c>
      <c r="K273" s="118" t="str">
        <f t="shared" si="120"/>
        <v/>
      </c>
      <c r="L273" s="109"/>
      <c r="M273" s="177"/>
      <c r="N273" s="118" t="str">
        <f t="shared" si="121"/>
        <v/>
      </c>
      <c r="O273" s="177"/>
      <c r="P273" s="177"/>
      <c r="Q273" s="177"/>
      <c r="R273" s="255" t="str">
        <f t="shared" si="122"/>
        <v/>
      </c>
      <c r="S273" s="120"/>
      <c r="T273" s="120"/>
      <c r="U273" s="120"/>
      <c r="V273" s="120"/>
      <c r="W273" s="120"/>
      <c r="X273" s="120"/>
      <c r="Y273" s="120"/>
      <c r="Z273" s="120"/>
      <c r="AA273" s="120"/>
      <c r="AB273" s="120"/>
      <c r="AC273" s="120"/>
      <c r="AD273" s="120"/>
      <c r="AE273" s="120"/>
      <c r="AF273" s="120"/>
      <c r="AG273" s="120"/>
      <c r="AH273" s="120"/>
      <c r="AI273" s="120"/>
      <c r="AK273" s="120"/>
      <c r="AL273" s="120"/>
      <c r="AM273" s="120"/>
      <c r="AN273" s="120"/>
      <c r="AO273" s="120"/>
      <c r="AP273" s="120"/>
      <c r="AQ273" s="120"/>
      <c r="AR273" s="120"/>
      <c r="AS273" s="120"/>
      <c r="AT273" s="120"/>
      <c r="AU273" s="120"/>
      <c r="AV273" s="120"/>
      <c r="AW273" s="120"/>
      <c r="AX273" s="120"/>
      <c r="AY273" s="120"/>
      <c r="AZ273" s="120"/>
      <c r="BS273" s="14"/>
      <c r="BT273" s="14"/>
      <c r="BU273" s="14"/>
      <c r="BV273" s="14"/>
    </row>
    <row r="274" spans="1:74" hidden="1" x14ac:dyDescent="0.3">
      <c r="A274" s="106">
        <v>268</v>
      </c>
      <c r="B274" s="106"/>
      <c r="C274" s="106"/>
      <c r="D274" s="106"/>
      <c r="E274" s="107"/>
      <c r="F274" s="108"/>
      <c r="G274" s="109"/>
      <c r="H274" s="110">
        <f t="shared" si="119"/>
        <v>0</v>
      </c>
      <c r="I274" s="177"/>
      <c r="J274" s="118" t="str">
        <f>IF(OR(D274="",F274=""),"",(((HLOOKUP(D274,'Carrières et points'!$A$20:$AD$60,F274+2,FALSE)*'Carrières et points'!$C$7*'Carrières et points'!$C$9)+(HLOOKUP(D274,'Carrières et points'!$A$20:$AD$60,F274+2,FALSE)*'Carrières et points'!$C$13*'Carrières et points'!$C$15))*(1+'F0 - Données générales'!$I$4)+((HLOOKUP(D274,'Carrières et points'!$A$20:$AD$60,F274+2,FALSE)*'Carrières et points'!$C$7*'Carrières et points'!$C$9)+(HLOOKUP(D274,'Carrières et points'!$A$20:$AD$60,F274+2,FALSE)*'Carrières et points'!$C$13*'Carrières et points'!$C$15))/12*(1+'F0 - Données générales'!$L$13))*E274)</f>
        <v/>
      </c>
      <c r="K274" s="118" t="str">
        <f t="shared" si="120"/>
        <v/>
      </c>
      <c r="L274" s="109"/>
      <c r="M274" s="177"/>
      <c r="N274" s="118" t="str">
        <f t="shared" si="121"/>
        <v/>
      </c>
      <c r="O274" s="177"/>
      <c r="P274" s="177"/>
      <c r="Q274" s="177"/>
      <c r="R274" s="255" t="str">
        <f t="shared" si="122"/>
        <v/>
      </c>
      <c r="S274" s="120"/>
      <c r="T274" s="120"/>
      <c r="U274" s="120"/>
      <c r="V274" s="120"/>
      <c r="W274" s="120"/>
      <c r="X274" s="120"/>
      <c r="Y274" s="120"/>
      <c r="Z274" s="120"/>
      <c r="AA274" s="120"/>
      <c r="AB274" s="120"/>
      <c r="AC274" s="120"/>
      <c r="AD274" s="120"/>
      <c r="AE274" s="120"/>
      <c r="AF274" s="120"/>
      <c r="AG274" s="120"/>
      <c r="AH274" s="120"/>
      <c r="AI274" s="120"/>
      <c r="AK274" s="120"/>
      <c r="AL274" s="120"/>
      <c r="AM274" s="120"/>
      <c r="AN274" s="120"/>
      <c r="AO274" s="120"/>
      <c r="AP274" s="120"/>
      <c r="AQ274" s="120"/>
      <c r="AR274" s="120"/>
      <c r="AS274" s="120"/>
      <c r="AT274" s="120"/>
      <c r="AU274" s="120"/>
      <c r="AV274" s="120"/>
      <c r="AW274" s="120"/>
      <c r="AX274" s="120"/>
      <c r="AY274" s="120"/>
      <c r="AZ274" s="120"/>
      <c r="BS274" s="14"/>
      <c r="BT274" s="14"/>
      <c r="BU274" s="132"/>
      <c r="BV274" s="14"/>
    </row>
    <row r="275" spans="1:74" hidden="1" x14ac:dyDescent="0.3">
      <c r="A275" s="106">
        <v>269</v>
      </c>
      <c r="B275" s="106"/>
      <c r="C275" s="106"/>
      <c r="D275" s="106"/>
      <c r="E275" s="107"/>
      <c r="F275" s="108"/>
      <c r="G275" s="109"/>
      <c r="H275" s="110">
        <f t="shared" si="119"/>
        <v>0</v>
      </c>
      <c r="I275" s="177"/>
      <c r="J275" s="118" t="str">
        <f>IF(OR(D275="",F275=""),"",(((HLOOKUP(D275,'Carrières et points'!$A$20:$AD$60,F275+2,FALSE)*'Carrières et points'!$C$7*'Carrières et points'!$C$9)+(HLOOKUP(D275,'Carrières et points'!$A$20:$AD$60,F275+2,FALSE)*'Carrières et points'!$C$13*'Carrières et points'!$C$15))*(1+'F0 - Données générales'!$I$4)+((HLOOKUP(D275,'Carrières et points'!$A$20:$AD$60,F275+2,FALSE)*'Carrières et points'!$C$7*'Carrières et points'!$C$9)+(HLOOKUP(D275,'Carrières et points'!$A$20:$AD$60,F275+2,FALSE)*'Carrières et points'!$C$13*'Carrières et points'!$C$15))/12*(1+'F0 - Données générales'!$L$13))*E275)</f>
        <v/>
      </c>
      <c r="K275" s="118" t="str">
        <f t="shared" si="120"/>
        <v/>
      </c>
      <c r="L275" s="109"/>
      <c r="M275" s="177"/>
      <c r="N275" s="118" t="str">
        <f t="shared" si="121"/>
        <v/>
      </c>
      <c r="O275" s="177"/>
      <c r="P275" s="177"/>
      <c r="Q275" s="177"/>
      <c r="R275" s="255" t="str">
        <f t="shared" si="122"/>
        <v/>
      </c>
      <c r="S275" s="120"/>
      <c r="T275" s="120"/>
      <c r="U275" s="120"/>
      <c r="V275" s="120"/>
      <c r="W275" s="120"/>
      <c r="X275" s="120"/>
      <c r="Y275" s="120"/>
      <c r="Z275" s="120"/>
      <c r="AA275" s="120"/>
      <c r="AB275" s="120"/>
      <c r="AC275" s="120"/>
      <c r="AD275" s="120"/>
      <c r="AE275" s="120"/>
      <c r="AF275" s="120"/>
      <c r="AG275" s="120"/>
      <c r="AH275" s="120"/>
      <c r="AI275" s="120"/>
      <c r="AK275" s="120"/>
      <c r="AL275" s="120"/>
      <c r="AM275" s="120"/>
      <c r="AN275" s="120"/>
      <c r="AO275" s="120"/>
      <c r="AP275" s="120"/>
      <c r="AQ275" s="120"/>
      <c r="AR275" s="120"/>
      <c r="AS275" s="120"/>
      <c r="AT275" s="120"/>
      <c r="AU275" s="120"/>
      <c r="AV275" s="120"/>
      <c r="AW275" s="120"/>
      <c r="AX275" s="120"/>
      <c r="AY275" s="120"/>
      <c r="AZ275" s="120"/>
      <c r="BS275" s="132"/>
      <c r="BT275" s="132"/>
      <c r="BU275" s="14"/>
      <c r="BV275" s="14"/>
    </row>
    <row r="276" spans="1:74" hidden="1" x14ac:dyDescent="0.3">
      <c r="A276" s="106">
        <v>270</v>
      </c>
      <c r="B276" s="106"/>
      <c r="C276" s="106"/>
      <c r="D276" s="106"/>
      <c r="E276" s="107"/>
      <c r="F276" s="108"/>
      <c r="G276" s="109"/>
      <c r="H276" s="110">
        <f t="shared" si="119"/>
        <v>0</v>
      </c>
      <c r="I276" s="177"/>
      <c r="J276" s="118" t="str">
        <f>IF(OR(D276="",F276=""),"",(((HLOOKUP(D276,'Carrières et points'!$A$20:$AD$60,F276+2,FALSE)*'Carrières et points'!$C$7*'Carrières et points'!$C$9)+(HLOOKUP(D276,'Carrières et points'!$A$20:$AD$60,F276+2,FALSE)*'Carrières et points'!$C$13*'Carrières et points'!$C$15))*(1+'F0 - Données générales'!$I$4)+((HLOOKUP(D276,'Carrières et points'!$A$20:$AD$60,F276+2,FALSE)*'Carrières et points'!$C$7*'Carrières et points'!$C$9)+(HLOOKUP(D276,'Carrières et points'!$A$20:$AD$60,F276+2,FALSE)*'Carrières et points'!$C$13*'Carrières et points'!$C$15))/12*(1+'F0 - Données générales'!$L$13))*E276)</f>
        <v/>
      </c>
      <c r="K276" s="118" t="str">
        <f t="shared" si="120"/>
        <v/>
      </c>
      <c r="L276" s="109"/>
      <c r="M276" s="177"/>
      <c r="N276" s="118" t="str">
        <f t="shared" si="121"/>
        <v/>
      </c>
      <c r="O276" s="177"/>
      <c r="P276" s="177"/>
      <c r="Q276" s="177"/>
      <c r="R276" s="255" t="str">
        <f t="shared" si="122"/>
        <v/>
      </c>
      <c r="S276" s="120"/>
      <c r="T276" s="120"/>
      <c r="U276" s="120"/>
      <c r="V276" s="120"/>
      <c r="W276" s="120"/>
      <c r="X276" s="120"/>
      <c r="Y276" s="120"/>
      <c r="Z276" s="120"/>
      <c r="AA276" s="120"/>
      <c r="AB276" s="120"/>
      <c r="AC276" s="120"/>
      <c r="AD276" s="120"/>
      <c r="AE276" s="120"/>
      <c r="AF276" s="120"/>
      <c r="AG276" s="120"/>
      <c r="AH276" s="120"/>
      <c r="AI276" s="120"/>
      <c r="AK276" s="120"/>
      <c r="AL276" s="120"/>
      <c r="AM276" s="120"/>
      <c r="AN276" s="120"/>
      <c r="AO276" s="120"/>
      <c r="AP276" s="120"/>
      <c r="AQ276" s="120"/>
      <c r="AR276" s="120"/>
      <c r="AS276" s="120"/>
      <c r="AT276" s="120"/>
      <c r="AU276" s="120"/>
      <c r="AV276" s="120"/>
      <c r="AW276" s="120"/>
      <c r="AX276" s="120"/>
      <c r="AY276" s="120"/>
      <c r="AZ276" s="120"/>
      <c r="BS276" s="14"/>
      <c r="BT276" s="14"/>
      <c r="BU276" s="132"/>
      <c r="BV276" s="14"/>
    </row>
    <row r="277" spans="1:74" hidden="1" x14ac:dyDescent="0.3">
      <c r="A277" s="106">
        <v>271</v>
      </c>
      <c r="B277" s="106"/>
      <c r="C277" s="106"/>
      <c r="D277" s="106"/>
      <c r="E277" s="107"/>
      <c r="F277" s="108"/>
      <c r="G277" s="109"/>
      <c r="H277" s="110">
        <f t="shared" si="119"/>
        <v>0</v>
      </c>
      <c r="I277" s="177"/>
      <c r="J277" s="118" t="str">
        <f>IF(OR(D277="",F277=""),"",(((HLOOKUP(D277,'Carrières et points'!$A$20:$AD$60,F277+2,FALSE)*'Carrières et points'!$C$7*'Carrières et points'!$C$9)+(HLOOKUP(D277,'Carrières et points'!$A$20:$AD$60,F277+2,FALSE)*'Carrières et points'!$C$13*'Carrières et points'!$C$15))*(1+'F0 - Données générales'!$I$4)+((HLOOKUP(D277,'Carrières et points'!$A$20:$AD$60,F277+2,FALSE)*'Carrières et points'!$C$7*'Carrières et points'!$C$9)+(HLOOKUP(D277,'Carrières et points'!$A$20:$AD$60,F277+2,FALSE)*'Carrières et points'!$C$13*'Carrières et points'!$C$15))/12*(1+'F0 - Données générales'!$L$13))*E277)</f>
        <v/>
      </c>
      <c r="K277" s="118" t="str">
        <f t="shared" si="120"/>
        <v/>
      </c>
      <c r="L277" s="109"/>
      <c r="M277" s="177"/>
      <c r="N277" s="118" t="str">
        <f t="shared" si="121"/>
        <v/>
      </c>
      <c r="O277" s="177"/>
      <c r="P277" s="177"/>
      <c r="Q277" s="177"/>
      <c r="R277" s="255" t="str">
        <f t="shared" si="122"/>
        <v/>
      </c>
      <c r="S277" s="120"/>
      <c r="T277" s="120"/>
      <c r="U277" s="120"/>
      <c r="V277" s="120"/>
      <c r="W277" s="120"/>
      <c r="X277" s="120"/>
      <c r="Y277" s="120"/>
      <c r="Z277" s="120"/>
      <c r="AA277" s="120"/>
      <c r="AB277" s="120"/>
      <c r="AC277" s="120"/>
      <c r="AD277" s="120"/>
      <c r="AE277" s="120"/>
      <c r="AF277" s="120"/>
      <c r="AG277" s="120"/>
      <c r="AH277" s="120"/>
      <c r="AI277" s="120"/>
      <c r="AK277" s="120"/>
      <c r="AL277" s="120"/>
      <c r="AM277" s="120"/>
      <c r="AN277" s="120"/>
      <c r="AO277" s="120"/>
      <c r="AP277" s="120"/>
      <c r="AQ277" s="120"/>
      <c r="AR277" s="120"/>
      <c r="AS277" s="120"/>
      <c r="AT277" s="120"/>
      <c r="AU277" s="120"/>
      <c r="AV277" s="120"/>
      <c r="AW277" s="120"/>
      <c r="AX277" s="120"/>
      <c r="AY277" s="120"/>
      <c r="AZ277" s="120"/>
      <c r="BV277" s="14"/>
    </row>
    <row r="278" spans="1:74" hidden="1" x14ac:dyDescent="0.3">
      <c r="A278" s="106">
        <v>272</v>
      </c>
      <c r="B278" s="106"/>
      <c r="C278" s="106"/>
      <c r="D278" s="106"/>
      <c r="E278" s="107"/>
      <c r="F278" s="108"/>
      <c r="G278" s="109"/>
      <c r="H278" s="110">
        <f t="shared" si="119"/>
        <v>0</v>
      </c>
      <c r="I278" s="177"/>
      <c r="J278" s="118" t="str">
        <f>IF(OR(D278="",F278=""),"",(((HLOOKUP(D278,'Carrières et points'!$A$20:$AD$60,F278+2,FALSE)*'Carrières et points'!$C$7*'Carrières et points'!$C$9)+(HLOOKUP(D278,'Carrières et points'!$A$20:$AD$60,F278+2,FALSE)*'Carrières et points'!$C$13*'Carrières et points'!$C$15))*(1+'F0 - Données générales'!$I$4)+((HLOOKUP(D278,'Carrières et points'!$A$20:$AD$60,F278+2,FALSE)*'Carrières et points'!$C$7*'Carrières et points'!$C$9)+(HLOOKUP(D278,'Carrières et points'!$A$20:$AD$60,F278+2,FALSE)*'Carrières et points'!$C$13*'Carrières et points'!$C$15))/12*(1+'F0 - Données générales'!$L$13))*E278)</f>
        <v/>
      </c>
      <c r="K278" s="118" t="str">
        <f t="shared" si="120"/>
        <v/>
      </c>
      <c r="L278" s="109"/>
      <c r="M278" s="177"/>
      <c r="N278" s="118" t="str">
        <f t="shared" si="121"/>
        <v/>
      </c>
      <c r="O278" s="177"/>
      <c r="P278" s="177"/>
      <c r="Q278" s="177"/>
      <c r="R278" s="255" t="str">
        <f t="shared" si="122"/>
        <v/>
      </c>
      <c r="S278" s="120"/>
      <c r="T278" s="120"/>
      <c r="U278" s="120"/>
      <c r="V278" s="120"/>
      <c r="W278" s="120"/>
      <c r="X278" s="120"/>
      <c r="Y278" s="120"/>
      <c r="Z278" s="120"/>
      <c r="AA278" s="120"/>
      <c r="AB278" s="120"/>
      <c r="AC278" s="120"/>
      <c r="AD278" s="120"/>
      <c r="AE278" s="120"/>
      <c r="AF278" s="120"/>
      <c r="AG278" s="120"/>
      <c r="AH278" s="120"/>
      <c r="AI278" s="120"/>
      <c r="AK278" s="120"/>
      <c r="AL278" s="120"/>
      <c r="AM278" s="120"/>
      <c r="AN278" s="120"/>
      <c r="AO278" s="120"/>
      <c r="AP278" s="120"/>
      <c r="AQ278" s="120"/>
      <c r="AR278" s="120"/>
      <c r="AS278" s="120"/>
      <c r="AT278" s="120"/>
      <c r="AU278" s="120"/>
      <c r="AV278" s="120"/>
      <c r="AW278" s="120"/>
      <c r="AX278" s="120"/>
      <c r="AY278" s="120"/>
      <c r="AZ278" s="120"/>
      <c r="BV278" s="14"/>
    </row>
    <row r="279" spans="1:74" hidden="1" x14ac:dyDescent="0.3">
      <c r="A279" s="106">
        <v>273</v>
      </c>
      <c r="B279" s="106"/>
      <c r="C279" s="106"/>
      <c r="D279" s="106"/>
      <c r="E279" s="107"/>
      <c r="F279" s="108"/>
      <c r="G279" s="109"/>
      <c r="H279" s="110">
        <f t="shared" si="119"/>
        <v>0</v>
      </c>
      <c r="I279" s="177"/>
      <c r="J279" s="118" t="str">
        <f>IF(OR(D279="",F279=""),"",(((HLOOKUP(D279,'Carrières et points'!$A$20:$AD$60,F279+2,FALSE)*'Carrières et points'!$C$7*'Carrières et points'!$C$9)+(HLOOKUP(D279,'Carrières et points'!$A$20:$AD$60,F279+2,FALSE)*'Carrières et points'!$C$13*'Carrières et points'!$C$15))*(1+'F0 - Données générales'!$I$4)+((HLOOKUP(D279,'Carrières et points'!$A$20:$AD$60,F279+2,FALSE)*'Carrières et points'!$C$7*'Carrières et points'!$C$9)+(HLOOKUP(D279,'Carrières et points'!$A$20:$AD$60,F279+2,FALSE)*'Carrières et points'!$C$13*'Carrières et points'!$C$15))/12*(1+'F0 - Données générales'!$L$13))*E279)</f>
        <v/>
      </c>
      <c r="K279" s="118" t="str">
        <f t="shared" si="120"/>
        <v/>
      </c>
      <c r="L279" s="109"/>
      <c r="M279" s="177"/>
      <c r="N279" s="118" t="str">
        <f t="shared" si="121"/>
        <v/>
      </c>
      <c r="O279" s="177"/>
      <c r="P279" s="177"/>
      <c r="Q279" s="177"/>
      <c r="R279" s="255" t="str">
        <f t="shared" si="122"/>
        <v/>
      </c>
      <c r="S279" s="120"/>
      <c r="T279" s="120"/>
      <c r="U279" s="120"/>
      <c r="V279" s="120"/>
      <c r="W279" s="120"/>
      <c r="X279" s="120"/>
      <c r="Y279" s="120"/>
      <c r="Z279" s="120"/>
      <c r="AA279" s="120"/>
      <c r="AB279" s="120"/>
      <c r="AC279" s="120"/>
      <c r="AD279" s="120"/>
      <c r="AE279" s="120"/>
      <c r="AF279" s="120"/>
      <c r="AG279" s="120"/>
      <c r="AH279" s="120"/>
      <c r="AI279" s="120"/>
      <c r="AK279" s="120"/>
      <c r="AL279" s="120"/>
      <c r="AM279" s="120"/>
      <c r="AN279" s="120"/>
      <c r="AO279" s="120"/>
      <c r="AP279" s="120"/>
      <c r="AQ279" s="120"/>
      <c r="AR279" s="120"/>
      <c r="AS279" s="120"/>
      <c r="AT279" s="120"/>
      <c r="AU279" s="120"/>
      <c r="AV279" s="120"/>
      <c r="AW279" s="120"/>
      <c r="AX279" s="120"/>
      <c r="AY279" s="120"/>
      <c r="AZ279" s="120"/>
      <c r="BV279" s="14"/>
    </row>
    <row r="280" spans="1:74" hidden="1" x14ac:dyDescent="0.3">
      <c r="A280" s="106">
        <v>274</v>
      </c>
      <c r="B280" s="106"/>
      <c r="C280" s="106"/>
      <c r="D280" s="106"/>
      <c r="E280" s="107"/>
      <c r="F280" s="108"/>
      <c r="G280" s="109"/>
      <c r="H280" s="110">
        <f t="shared" si="119"/>
        <v>0</v>
      </c>
      <c r="I280" s="177"/>
      <c r="J280" s="118" t="str">
        <f>IF(OR(D280="",F280=""),"",(((HLOOKUP(D280,'Carrières et points'!$A$20:$AD$60,F280+2,FALSE)*'Carrières et points'!$C$7*'Carrières et points'!$C$9)+(HLOOKUP(D280,'Carrières et points'!$A$20:$AD$60,F280+2,FALSE)*'Carrières et points'!$C$13*'Carrières et points'!$C$15))*(1+'F0 - Données générales'!$I$4)+((HLOOKUP(D280,'Carrières et points'!$A$20:$AD$60,F280+2,FALSE)*'Carrières et points'!$C$7*'Carrières et points'!$C$9)+(HLOOKUP(D280,'Carrières et points'!$A$20:$AD$60,F280+2,FALSE)*'Carrières et points'!$C$13*'Carrières et points'!$C$15))/12*(1+'F0 - Données générales'!$L$13))*E280)</f>
        <v/>
      </c>
      <c r="K280" s="118" t="str">
        <f t="shared" si="120"/>
        <v/>
      </c>
      <c r="L280" s="109"/>
      <c r="M280" s="177"/>
      <c r="N280" s="118" t="str">
        <f t="shared" si="121"/>
        <v/>
      </c>
      <c r="O280" s="177"/>
      <c r="P280" s="177"/>
      <c r="Q280" s="177"/>
      <c r="R280" s="255" t="str">
        <f t="shared" si="122"/>
        <v/>
      </c>
      <c r="S280" s="120"/>
      <c r="T280" s="120"/>
      <c r="U280" s="120"/>
      <c r="V280" s="120"/>
      <c r="W280" s="120"/>
      <c r="X280" s="120"/>
      <c r="Y280" s="120"/>
      <c r="Z280" s="120"/>
      <c r="AA280" s="120"/>
      <c r="AB280" s="120"/>
      <c r="AC280" s="120"/>
      <c r="AD280" s="120"/>
      <c r="AE280" s="120"/>
      <c r="AF280" s="120"/>
      <c r="AG280" s="120"/>
      <c r="AH280" s="120"/>
      <c r="AI280" s="120"/>
      <c r="AK280" s="120"/>
      <c r="AL280" s="120"/>
      <c r="AM280" s="120"/>
      <c r="AN280" s="120"/>
      <c r="AO280" s="120"/>
      <c r="AP280" s="120"/>
      <c r="AQ280" s="120"/>
      <c r="AR280" s="120"/>
      <c r="AS280" s="120"/>
      <c r="AT280" s="120"/>
      <c r="AU280" s="120"/>
      <c r="AV280" s="120"/>
      <c r="AW280" s="120"/>
      <c r="AX280" s="120"/>
      <c r="AY280" s="120"/>
      <c r="AZ280" s="120"/>
      <c r="BV280" s="14"/>
    </row>
    <row r="281" spans="1:74" hidden="1" x14ac:dyDescent="0.3">
      <c r="A281" s="106">
        <v>275</v>
      </c>
      <c r="B281" s="106"/>
      <c r="C281" s="106"/>
      <c r="D281" s="106"/>
      <c r="E281" s="107"/>
      <c r="F281" s="108"/>
      <c r="G281" s="109"/>
      <c r="H281" s="110">
        <f t="shared" si="119"/>
        <v>0</v>
      </c>
      <c r="I281" s="177"/>
      <c r="J281" s="118" t="str">
        <f>IF(OR(D281="",F281=""),"",(((HLOOKUP(D281,'Carrières et points'!$A$20:$AD$60,F281+2,FALSE)*'Carrières et points'!$C$7*'Carrières et points'!$C$9)+(HLOOKUP(D281,'Carrières et points'!$A$20:$AD$60,F281+2,FALSE)*'Carrières et points'!$C$13*'Carrières et points'!$C$15))*(1+'F0 - Données générales'!$I$4)+((HLOOKUP(D281,'Carrières et points'!$A$20:$AD$60,F281+2,FALSE)*'Carrières et points'!$C$7*'Carrières et points'!$C$9)+(HLOOKUP(D281,'Carrières et points'!$A$20:$AD$60,F281+2,FALSE)*'Carrières et points'!$C$13*'Carrières et points'!$C$15))/12*(1+'F0 - Données générales'!$L$13))*E281)</f>
        <v/>
      </c>
      <c r="K281" s="118" t="str">
        <f t="shared" si="120"/>
        <v/>
      </c>
      <c r="L281" s="109"/>
      <c r="M281" s="177"/>
      <c r="N281" s="118" t="str">
        <f t="shared" si="121"/>
        <v/>
      </c>
      <c r="O281" s="177"/>
      <c r="P281" s="177"/>
      <c r="Q281" s="177"/>
      <c r="R281" s="255" t="str">
        <f t="shared" si="122"/>
        <v/>
      </c>
      <c r="S281" s="120"/>
      <c r="T281" s="120"/>
      <c r="U281" s="120"/>
      <c r="V281" s="120"/>
      <c r="W281" s="120"/>
      <c r="X281" s="120"/>
      <c r="Y281" s="120"/>
      <c r="Z281" s="120"/>
      <c r="AA281" s="120"/>
      <c r="AB281" s="120"/>
      <c r="AC281" s="120"/>
      <c r="AD281" s="120"/>
      <c r="AE281" s="120"/>
      <c r="AF281" s="120"/>
      <c r="AG281" s="120"/>
      <c r="AH281" s="120"/>
      <c r="AI281" s="120"/>
      <c r="AK281" s="120"/>
      <c r="AL281" s="120"/>
      <c r="AM281" s="120"/>
      <c r="AN281" s="120"/>
      <c r="AO281" s="120"/>
      <c r="AP281" s="120"/>
      <c r="AQ281" s="120"/>
      <c r="AR281" s="120"/>
      <c r="AS281" s="120"/>
      <c r="AT281" s="120"/>
      <c r="AU281" s="120"/>
      <c r="AV281" s="120"/>
      <c r="AW281" s="120"/>
      <c r="AX281" s="120"/>
      <c r="AY281" s="120"/>
      <c r="AZ281" s="120"/>
    </row>
    <row r="282" spans="1:74" hidden="1" x14ac:dyDescent="0.3"/>
    <row r="283" spans="1:74" hidden="1" x14ac:dyDescent="0.3">
      <c r="A283" s="104" t="s">
        <v>320</v>
      </c>
    </row>
    <row r="284" spans="1:74" ht="96.6" hidden="1" x14ac:dyDescent="0.3">
      <c r="A284" s="105" t="s">
        <v>53</v>
      </c>
      <c r="B284" s="105" t="s">
        <v>175</v>
      </c>
      <c r="C284" s="105" t="s">
        <v>321</v>
      </c>
      <c r="D284" s="165" t="s">
        <v>318</v>
      </c>
      <c r="E284" s="165" t="s">
        <v>304</v>
      </c>
      <c r="F284" s="165" t="s">
        <v>400</v>
      </c>
      <c r="G284" s="165" t="s">
        <v>284</v>
      </c>
      <c r="H284" s="165" t="s">
        <v>59</v>
      </c>
      <c r="I284" s="165" t="s">
        <v>60</v>
      </c>
      <c r="J284" s="165" t="s">
        <v>399</v>
      </c>
    </row>
    <row r="285" spans="1:74" hidden="1" x14ac:dyDescent="0.3">
      <c r="A285" s="106">
        <v>276</v>
      </c>
      <c r="B285" s="106"/>
      <c r="C285" s="107"/>
      <c r="D285" s="177"/>
      <c r="E285" s="177"/>
      <c r="F285" s="118" t="str">
        <f t="shared" ref="F285:F300" si="123">IF(D285="","",D285+E285)</f>
        <v/>
      </c>
      <c r="G285" s="177"/>
      <c r="H285" s="177"/>
      <c r="I285" s="177"/>
      <c r="J285" s="255" t="str">
        <f>IF(F285="","",F285-SUM(G285:I285))</f>
        <v/>
      </c>
    </row>
    <row r="286" spans="1:74" hidden="1" x14ac:dyDescent="0.3">
      <c r="A286" s="106">
        <v>277</v>
      </c>
      <c r="B286" s="106"/>
      <c r="C286" s="107"/>
      <c r="D286" s="177"/>
      <c r="E286" s="177"/>
      <c r="F286" s="118" t="str">
        <f t="shared" si="123"/>
        <v/>
      </c>
      <c r="G286" s="177"/>
      <c r="H286" s="177"/>
      <c r="I286" s="177"/>
      <c r="J286" s="255" t="str">
        <f t="shared" ref="J286:J300" si="124">IF(F286="","",F286-SUM(G286:I286))</f>
        <v/>
      </c>
    </row>
    <row r="287" spans="1:74" hidden="1" x14ac:dyDescent="0.3">
      <c r="A287" s="106">
        <v>278</v>
      </c>
      <c r="B287" s="106"/>
      <c r="C287" s="107"/>
      <c r="D287" s="177"/>
      <c r="E287" s="177"/>
      <c r="F287" s="118" t="str">
        <f t="shared" si="123"/>
        <v/>
      </c>
      <c r="G287" s="177"/>
      <c r="H287" s="177"/>
      <c r="I287" s="177"/>
      <c r="J287" s="255" t="str">
        <f t="shared" si="124"/>
        <v/>
      </c>
    </row>
    <row r="288" spans="1:74" hidden="1" x14ac:dyDescent="0.3">
      <c r="A288" s="106">
        <v>279</v>
      </c>
      <c r="B288" s="106"/>
      <c r="C288" s="107"/>
      <c r="D288" s="177"/>
      <c r="E288" s="177"/>
      <c r="F288" s="118" t="str">
        <f t="shared" si="123"/>
        <v/>
      </c>
      <c r="G288" s="177"/>
      <c r="H288" s="177"/>
      <c r="I288" s="177"/>
      <c r="J288" s="255" t="str">
        <f t="shared" si="124"/>
        <v/>
      </c>
    </row>
    <row r="289" spans="1:74" hidden="1" x14ac:dyDescent="0.3">
      <c r="A289" s="106">
        <v>280</v>
      </c>
      <c r="B289" s="106"/>
      <c r="C289" s="107"/>
      <c r="D289" s="177"/>
      <c r="E289" s="177"/>
      <c r="F289" s="118" t="str">
        <f t="shared" si="123"/>
        <v/>
      </c>
      <c r="G289" s="177"/>
      <c r="H289" s="177"/>
      <c r="I289" s="177"/>
      <c r="J289" s="255" t="str">
        <f t="shared" si="124"/>
        <v/>
      </c>
    </row>
    <row r="290" spans="1:74" hidden="1" x14ac:dyDescent="0.3">
      <c r="A290" s="106">
        <v>281</v>
      </c>
      <c r="B290" s="106"/>
      <c r="C290" s="107"/>
      <c r="D290" s="177"/>
      <c r="E290" s="177"/>
      <c r="F290" s="118" t="str">
        <f t="shared" si="123"/>
        <v/>
      </c>
      <c r="G290" s="177"/>
      <c r="H290" s="177"/>
      <c r="I290" s="177"/>
      <c r="J290" s="255" t="str">
        <f t="shared" si="124"/>
        <v/>
      </c>
    </row>
    <row r="291" spans="1:74" hidden="1" x14ac:dyDescent="0.3">
      <c r="A291" s="106">
        <v>282</v>
      </c>
      <c r="B291" s="106"/>
      <c r="C291" s="107"/>
      <c r="D291" s="177"/>
      <c r="E291" s="177"/>
      <c r="F291" s="118" t="str">
        <f t="shared" si="123"/>
        <v/>
      </c>
      <c r="G291" s="177"/>
      <c r="H291" s="177"/>
      <c r="I291" s="177"/>
      <c r="J291" s="255" t="str">
        <f t="shared" si="124"/>
        <v/>
      </c>
    </row>
    <row r="292" spans="1:74" hidden="1" x14ac:dyDescent="0.3">
      <c r="A292" s="106">
        <v>283</v>
      </c>
      <c r="B292" s="106"/>
      <c r="C292" s="107"/>
      <c r="D292" s="177"/>
      <c r="E292" s="177"/>
      <c r="F292" s="118" t="str">
        <f t="shared" si="123"/>
        <v/>
      </c>
      <c r="G292" s="177"/>
      <c r="H292" s="177"/>
      <c r="I292" s="177"/>
      <c r="J292" s="255" t="str">
        <f t="shared" si="124"/>
        <v/>
      </c>
    </row>
    <row r="293" spans="1:74" hidden="1" x14ac:dyDescent="0.3">
      <c r="A293" s="106">
        <v>284</v>
      </c>
      <c r="B293" s="106"/>
      <c r="C293" s="107"/>
      <c r="D293" s="177"/>
      <c r="E293" s="177"/>
      <c r="F293" s="118" t="str">
        <f t="shared" si="123"/>
        <v/>
      </c>
      <c r="G293" s="177"/>
      <c r="H293" s="177"/>
      <c r="I293" s="177"/>
      <c r="J293" s="255" t="str">
        <f t="shared" si="124"/>
        <v/>
      </c>
    </row>
    <row r="294" spans="1:74" hidden="1" x14ac:dyDescent="0.3">
      <c r="A294" s="106">
        <v>285</v>
      </c>
      <c r="B294" s="106"/>
      <c r="C294" s="107"/>
      <c r="D294" s="177"/>
      <c r="E294" s="177"/>
      <c r="F294" s="118" t="str">
        <f t="shared" si="123"/>
        <v/>
      </c>
      <c r="G294" s="177"/>
      <c r="H294" s="177"/>
      <c r="I294" s="177"/>
      <c r="J294" s="255" t="str">
        <f t="shared" si="124"/>
        <v/>
      </c>
      <c r="BS294" s="132"/>
      <c r="BT294" s="132"/>
      <c r="BU294" s="14"/>
    </row>
    <row r="295" spans="1:74" hidden="1" x14ac:dyDescent="0.3">
      <c r="A295" s="106">
        <v>286</v>
      </c>
      <c r="B295" s="106"/>
      <c r="C295" s="107"/>
      <c r="D295" s="177"/>
      <c r="E295" s="177"/>
      <c r="F295" s="118" t="str">
        <f t="shared" si="123"/>
        <v/>
      </c>
      <c r="G295" s="177"/>
      <c r="H295" s="177"/>
      <c r="I295" s="177"/>
      <c r="J295" s="255" t="str">
        <f t="shared" si="124"/>
        <v/>
      </c>
      <c r="BS295" s="14"/>
      <c r="BT295" s="14"/>
    </row>
    <row r="296" spans="1:74" hidden="1" x14ac:dyDescent="0.3">
      <c r="A296" s="106">
        <v>287</v>
      </c>
      <c r="B296" s="106"/>
      <c r="C296" s="107"/>
      <c r="D296" s="177"/>
      <c r="E296" s="177"/>
      <c r="F296" s="118" t="str">
        <f t="shared" si="123"/>
        <v/>
      </c>
      <c r="G296" s="177"/>
      <c r="H296" s="177"/>
      <c r="I296" s="177"/>
      <c r="J296" s="255" t="str">
        <f t="shared" si="124"/>
        <v/>
      </c>
      <c r="BU296" s="14"/>
    </row>
    <row r="297" spans="1:74" hidden="1" x14ac:dyDescent="0.3">
      <c r="A297" s="106">
        <v>288</v>
      </c>
      <c r="B297" s="106"/>
      <c r="C297" s="107"/>
      <c r="D297" s="177"/>
      <c r="E297" s="177"/>
      <c r="F297" s="118" t="str">
        <f t="shared" si="123"/>
        <v/>
      </c>
      <c r="G297" s="177"/>
      <c r="H297" s="177"/>
      <c r="I297" s="177"/>
      <c r="J297" s="255" t="str">
        <f t="shared" si="124"/>
        <v/>
      </c>
      <c r="BS297" s="14"/>
      <c r="BT297" s="14"/>
      <c r="BU297" s="14"/>
    </row>
    <row r="298" spans="1:74" hidden="1" x14ac:dyDescent="0.3">
      <c r="A298" s="106">
        <v>289</v>
      </c>
      <c r="B298" s="106"/>
      <c r="C298" s="107"/>
      <c r="D298" s="177"/>
      <c r="E298" s="177"/>
      <c r="F298" s="118" t="str">
        <f t="shared" si="123"/>
        <v/>
      </c>
      <c r="G298" s="177"/>
      <c r="H298" s="177"/>
      <c r="I298" s="177"/>
      <c r="J298" s="255" t="str">
        <f t="shared" si="124"/>
        <v/>
      </c>
      <c r="BS298" s="14"/>
      <c r="BT298" s="14"/>
      <c r="BU298" s="14"/>
      <c r="BV298" s="14"/>
    </row>
    <row r="299" spans="1:74" hidden="1" x14ac:dyDescent="0.3">
      <c r="A299" s="106">
        <v>290</v>
      </c>
      <c r="B299" s="106"/>
      <c r="C299" s="107"/>
      <c r="D299" s="177"/>
      <c r="E299" s="177"/>
      <c r="F299" s="118" t="str">
        <f t="shared" si="123"/>
        <v/>
      </c>
      <c r="G299" s="177"/>
      <c r="H299" s="177"/>
      <c r="I299" s="177"/>
      <c r="J299" s="255" t="str">
        <f t="shared" si="124"/>
        <v/>
      </c>
      <c r="BS299" s="14"/>
      <c r="BT299" s="14"/>
      <c r="BU299" s="14"/>
      <c r="BV299" s="14"/>
    </row>
    <row r="300" spans="1:74" hidden="1" x14ac:dyDescent="0.3">
      <c r="A300" s="106">
        <v>291</v>
      </c>
      <c r="B300" s="106"/>
      <c r="C300" s="107"/>
      <c r="D300" s="177"/>
      <c r="E300" s="177"/>
      <c r="F300" s="118" t="str">
        <f t="shared" si="123"/>
        <v/>
      </c>
      <c r="G300" s="177"/>
      <c r="H300" s="177"/>
      <c r="I300" s="177"/>
      <c r="J300" s="255" t="str">
        <f t="shared" si="124"/>
        <v/>
      </c>
      <c r="BS300" s="14"/>
      <c r="BT300" s="14"/>
      <c r="BU300" s="14"/>
      <c r="BV300" s="132"/>
    </row>
    <row r="301" spans="1:74" hidden="1" x14ac:dyDescent="0.3">
      <c r="BS301" s="14"/>
      <c r="BT301" s="14"/>
      <c r="BU301" s="14"/>
      <c r="BV301" s="14"/>
    </row>
    <row r="302" spans="1:74" hidden="1" x14ac:dyDescent="0.3">
      <c r="A302" s="104" t="s">
        <v>322</v>
      </c>
      <c r="BS302" s="14"/>
      <c r="BT302" s="14"/>
      <c r="BU302" s="14"/>
      <c r="BV302" s="132"/>
    </row>
    <row r="303" spans="1:74" ht="96.6" hidden="1" x14ac:dyDescent="0.3">
      <c r="A303" s="105" t="s">
        <v>53</v>
      </c>
      <c r="B303" s="105" t="s">
        <v>175</v>
      </c>
      <c r="C303" s="105" t="s">
        <v>321</v>
      </c>
      <c r="D303" s="165" t="s">
        <v>318</v>
      </c>
      <c r="E303" s="165" t="s">
        <v>304</v>
      </c>
      <c r="F303" s="165" t="s">
        <v>400</v>
      </c>
      <c r="G303" s="165" t="s">
        <v>284</v>
      </c>
      <c r="H303" s="165" t="s">
        <v>59</v>
      </c>
      <c r="I303" s="165" t="s">
        <v>60</v>
      </c>
      <c r="J303" s="165" t="s">
        <v>399</v>
      </c>
      <c r="BS303" s="14"/>
      <c r="BT303" s="14"/>
      <c r="BU303" s="14"/>
      <c r="BV303" s="14"/>
    </row>
    <row r="304" spans="1:74" hidden="1" x14ac:dyDescent="0.3">
      <c r="A304" s="106">
        <v>292</v>
      </c>
      <c r="B304" s="106"/>
      <c r="C304" s="107"/>
      <c r="D304" s="177"/>
      <c r="E304" s="177"/>
      <c r="F304" s="118" t="str">
        <f t="shared" ref="F304:F326" si="125">IF(D304="","",D304+E304)</f>
        <v/>
      </c>
      <c r="G304" s="177"/>
      <c r="H304" s="177"/>
      <c r="I304" s="177"/>
      <c r="J304" s="255" t="str">
        <f>IF(F304="","",F304-SUM(G304:I304))</f>
        <v/>
      </c>
      <c r="BS304" s="14"/>
      <c r="BT304" s="14"/>
      <c r="BU304" s="14"/>
    </row>
    <row r="305" spans="1:74" hidden="1" x14ac:dyDescent="0.3">
      <c r="A305" s="106">
        <v>293</v>
      </c>
      <c r="B305" s="106"/>
      <c r="C305" s="107"/>
      <c r="D305" s="177"/>
      <c r="E305" s="177"/>
      <c r="F305" s="118" t="str">
        <f t="shared" si="125"/>
        <v/>
      </c>
      <c r="G305" s="177"/>
      <c r="H305" s="177"/>
      <c r="I305" s="177"/>
      <c r="J305" s="255" t="str">
        <f t="shared" ref="J305:J326" si="126">IF(F305="","",F305-SUM(G305:I305))</f>
        <v/>
      </c>
      <c r="BS305" s="14"/>
      <c r="BT305" s="14"/>
      <c r="BU305" s="14"/>
      <c r="BV305" s="14"/>
    </row>
    <row r="306" spans="1:74" hidden="1" x14ac:dyDescent="0.3">
      <c r="A306" s="106">
        <v>294</v>
      </c>
      <c r="B306" s="106"/>
      <c r="C306" s="107"/>
      <c r="D306" s="177"/>
      <c r="E306" s="177"/>
      <c r="F306" s="118" t="str">
        <f t="shared" si="125"/>
        <v/>
      </c>
      <c r="G306" s="177"/>
      <c r="H306" s="177"/>
      <c r="I306" s="177"/>
      <c r="J306" s="255" t="str">
        <f t="shared" si="126"/>
        <v/>
      </c>
      <c r="BS306" s="14"/>
      <c r="BT306" s="14"/>
      <c r="BU306" s="14"/>
      <c r="BV306" s="14"/>
    </row>
    <row r="307" spans="1:74" hidden="1" x14ac:dyDescent="0.3">
      <c r="A307" s="106">
        <v>295</v>
      </c>
      <c r="B307" s="106"/>
      <c r="C307" s="107"/>
      <c r="D307" s="177"/>
      <c r="E307" s="177"/>
      <c r="F307" s="118" t="str">
        <f t="shared" si="125"/>
        <v/>
      </c>
      <c r="G307" s="177"/>
      <c r="H307" s="177"/>
      <c r="I307" s="177"/>
      <c r="J307" s="255" t="str">
        <f t="shared" si="126"/>
        <v/>
      </c>
      <c r="BS307" s="14"/>
      <c r="BT307" s="14"/>
      <c r="BU307" s="14"/>
      <c r="BV307" s="14"/>
    </row>
    <row r="308" spans="1:74" hidden="1" x14ac:dyDescent="0.3">
      <c r="A308" s="106">
        <v>296</v>
      </c>
      <c r="B308" s="106"/>
      <c r="C308" s="107"/>
      <c r="D308" s="177"/>
      <c r="E308" s="177"/>
      <c r="F308" s="118" t="str">
        <f t="shared" si="125"/>
        <v/>
      </c>
      <c r="G308" s="177"/>
      <c r="H308" s="177"/>
      <c r="I308" s="177"/>
      <c r="J308" s="255" t="str">
        <f t="shared" si="126"/>
        <v/>
      </c>
      <c r="BS308" s="14"/>
      <c r="BT308" s="14"/>
      <c r="BU308" s="14"/>
      <c r="BV308" s="14"/>
    </row>
    <row r="309" spans="1:74" hidden="1" x14ac:dyDescent="0.3">
      <c r="A309" s="106">
        <v>297</v>
      </c>
      <c r="B309" s="106"/>
      <c r="C309" s="107"/>
      <c r="D309" s="177"/>
      <c r="E309" s="177"/>
      <c r="F309" s="118" t="str">
        <f t="shared" si="125"/>
        <v/>
      </c>
      <c r="G309" s="177"/>
      <c r="H309" s="177"/>
      <c r="I309" s="177"/>
      <c r="J309" s="255" t="str">
        <f t="shared" si="126"/>
        <v/>
      </c>
      <c r="BS309" s="14"/>
      <c r="BT309" s="14"/>
      <c r="BU309" s="14"/>
      <c r="BV309" s="14"/>
    </row>
    <row r="310" spans="1:74" hidden="1" x14ac:dyDescent="0.3">
      <c r="A310" s="106">
        <v>298</v>
      </c>
      <c r="B310" s="106"/>
      <c r="C310" s="107"/>
      <c r="D310" s="177"/>
      <c r="E310" s="177"/>
      <c r="F310" s="118" t="str">
        <f t="shared" si="125"/>
        <v/>
      </c>
      <c r="G310" s="177"/>
      <c r="H310" s="177"/>
      <c r="I310" s="177"/>
      <c r="J310" s="255" t="str">
        <f t="shared" si="126"/>
        <v/>
      </c>
      <c r="BS310" s="14"/>
      <c r="BT310" s="14"/>
      <c r="BU310" s="14"/>
      <c r="BV310" s="14"/>
    </row>
    <row r="311" spans="1:74" hidden="1" x14ac:dyDescent="0.3">
      <c r="A311" s="106">
        <v>299</v>
      </c>
      <c r="B311" s="106"/>
      <c r="C311" s="107"/>
      <c r="D311" s="177"/>
      <c r="E311" s="177"/>
      <c r="F311" s="118" t="str">
        <f t="shared" si="125"/>
        <v/>
      </c>
      <c r="G311" s="177"/>
      <c r="H311" s="177"/>
      <c r="I311" s="177"/>
      <c r="J311" s="255" t="str">
        <f t="shared" si="126"/>
        <v/>
      </c>
      <c r="BS311" s="14"/>
      <c r="BT311" s="14"/>
      <c r="BU311" s="14"/>
      <c r="BV311" s="14"/>
    </row>
    <row r="312" spans="1:74" hidden="1" x14ac:dyDescent="0.3">
      <c r="A312" s="106">
        <v>300</v>
      </c>
      <c r="B312" s="106"/>
      <c r="C312" s="107"/>
      <c r="D312" s="177"/>
      <c r="E312" s="177"/>
      <c r="F312" s="118" t="str">
        <f t="shared" si="125"/>
        <v/>
      </c>
      <c r="G312" s="177"/>
      <c r="H312" s="177"/>
      <c r="I312" s="177"/>
      <c r="J312" s="255" t="str">
        <f t="shared" si="126"/>
        <v/>
      </c>
      <c r="BS312" s="14"/>
      <c r="BT312" s="14"/>
      <c r="BU312" s="14"/>
      <c r="BV312" s="14"/>
    </row>
    <row r="313" spans="1:74" hidden="1" x14ac:dyDescent="0.3">
      <c r="A313" s="106">
        <v>301</v>
      </c>
      <c r="B313" s="106"/>
      <c r="C313" s="107"/>
      <c r="D313" s="177"/>
      <c r="E313" s="177"/>
      <c r="F313" s="118" t="str">
        <f t="shared" si="125"/>
        <v/>
      </c>
      <c r="G313" s="177"/>
      <c r="H313" s="177"/>
      <c r="I313" s="177"/>
      <c r="J313" s="255" t="str">
        <f t="shared" si="126"/>
        <v/>
      </c>
      <c r="BS313" s="14"/>
      <c r="BT313" s="14"/>
      <c r="BU313" s="14"/>
      <c r="BV313" s="14"/>
    </row>
    <row r="314" spans="1:74" hidden="1" x14ac:dyDescent="0.3">
      <c r="A314" s="106">
        <v>302</v>
      </c>
      <c r="B314" s="106"/>
      <c r="C314" s="107"/>
      <c r="D314" s="177"/>
      <c r="E314" s="177"/>
      <c r="F314" s="118" t="str">
        <f t="shared" si="125"/>
        <v/>
      </c>
      <c r="G314" s="177"/>
      <c r="H314" s="177"/>
      <c r="I314" s="177"/>
      <c r="J314" s="255" t="str">
        <f t="shared" si="126"/>
        <v/>
      </c>
      <c r="BS314" s="14"/>
      <c r="BT314" s="14"/>
      <c r="BU314" s="14"/>
      <c r="BV314" s="14"/>
    </row>
    <row r="315" spans="1:74" hidden="1" x14ac:dyDescent="0.3">
      <c r="A315" s="106">
        <v>303</v>
      </c>
      <c r="B315" s="106"/>
      <c r="C315" s="107"/>
      <c r="D315" s="177"/>
      <c r="E315" s="177"/>
      <c r="F315" s="118" t="str">
        <f t="shared" si="125"/>
        <v/>
      </c>
      <c r="G315" s="177"/>
      <c r="H315" s="177"/>
      <c r="I315" s="177"/>
      <c r="J315" s="255" t="str">
        <f t="shared" si="126"/>
        <v/>
      </c>
      <c r="BS315" s="14"/>
      <c r="BT315" s="14"/>
      <c r="BU315" s="132"/>
      <c r="BV315" s="14"/>
    </row>
    <row r="316" spans="1:74" hidden="1" x14ac:dyDescent="0.3">
      <c r="A316" s="106">
        <v>304</v>
      </c>
      <c r="B316" s="106"/>
      <c r="C316" s="107"/>
      <c r="D316" s="177"/>
      <c r="E316" s="177"/>
      <c r="F316" s="118" t="str">
        <f t="shared" si="125"/>
        <v/>
      </c>
      <c r="G316" s="177"/>
      <c r="H316" s="177"/>
      <c r="I316" s="177"/>
      <c r="J316" s="255" t="str">
        <f t="shared" si="126"/>
        <v/>
      </c>
      <c r="BS316" s="132"/>
      <c r="BT316" s="132"/>
      <c r="BU316" s="14"/>
      <c r="BV316" s="14"/>
    </row>
    <row r="317" spans="1:74" hidden="1" x14ac:dyDescent="0.3">
      <c r="A317" s="106">
        <v>305</v>
      </c>
      <c r="B317" s="106"/>
      <c r="C317" s="107"/>
      <c r="D317" s="177"/>
      <c r="E317" s="177"/>
      <c r="F317" s="118" t="str">
        <f t="shared" si="125"/>
        <v/>
      </c>
      <c r="G317" s="177"/>
      <c r="H317" s="177"/>
      <c r="I317" s="177"/>
      <c r="J317" s="255" t="str">
        <f t="shared" si="126"/>
        <v/>
      </c>
      <c r="BS317" s="14"/>
      <c r="BT317" s="14"/>
      <c r="BU317" s="132"/>
      <c r="BV317" s="14"/>
    </row>
    <row r="318" spans="1:74" hidden="1" x14ac:dyDescent="0.3">
      <c r="A318" s="106">
        <v>306</v>
      </c>
      <c r="B318" s="106"/>
      <c r="C318" s="107"/>
      <c r="D318" s="177"/>
      <c r="E318" s="177"/>
      <c r="F318" s="118" t="str">
        <f t="shared" si="125"/>
        <v/>
      </c>
      <c r="G318" s="177"/>
      <c r="H318" s="177"/>
      <c r="I318" s="177"/>
      <c r="J318" s="255" t="str">
        <f t="shared" si="126"/>
        <v/>
      </c>
      <c r="BS318" s="132"/>
      <c r="BT318" s="132"/>
      <c r="BU318" s="14"/>
      <c r="BV318" s="14"/>
    </row>
    <row r="319" spans="1:74" hidden="1" x14ac:dyDescent="0.3">
      <c r="A319" s="106">
        <v>307</v>
      </c>
      <c r="B319" s="106"/>
      <c r="C319" s="107"/>
      <c r="D319" s="177"/>
      <c r="E319" s="177"/>
      <c r="F319" s="118" t="str">
        <f t="shared" si="125"/>
        <v/>
      </c>
      <c r="G319" s="177"/>
      <c r="H319" s="177"/>
      <c r="I319" s="177"/>
      <c r="J319" s="255" t="str">
        <f t="shared" si="126"/>
        <v/>
      </c>
      <c r="BS319" s="14"/>
      <c r="BT319" s="14"/>
      <c r="BV319" s="14"/>
    </row>
    <row r="320" spans="1:74" hidden="1" x14ac:dyDescent="0.3">
      <c r="A320" s="106">
        <v>308</v>
      </c>
      <c r="B320" s="106"/>
      <c r="C320" s="107"/>
      <c r="D320" s="177"/>
      <c r="E320" s="177"/>
      <c r="F320" s="118" t="str">
        <f t="shared" si="125"/>
        <v/>
      </c>
      <c r="G320" s="177"/>
      <c r="H320" s="177"/>
      <c r="I320" s="177"/>
      <c r="J320" s="255" t="str">
        <f t="shared" si="126"/>
        <v/>
      </c>
      <c r="BU320" s="14"/>
      <c r="BV320" s="14"/>
    </row>
    <row r="321" spans="1:74" hidden="1" x14ac:dyDescent="0.3">
      <c r="A321" s="106">
        <v>309</v>
      </c>
      <c r="B321" s="106"/>
      <c r="C321" s="107"/>
      <c r="D321" s="177"/>
      <c r="E321" s="177"/>
      <c r="F321" s="118" t="str">
        <f t="shared" si="125"/>
        <v/>
      </c>
      <c r="G321" s="177"/>
      <c r="H321" s="177"/>
      <c r="I321" s="177"/>
      <c r="J321" s="255" t="str">
        <f t="shared" si="126"/>
        <v/>
      </c>
      <c r="BS321" s="14"/>
      <c r="BT321" s="14"/>
      <c r="BU321" s="14"/>
      <c r="BV321" s="14"/>
    </row>
    <row r="322" spans="1:74" hidden="1" x14ac:dyDescent="0.3">
      <c r="A322" s="106">
        <v>310</v>
      </c>
      <c r="B322" s="106"/>
      <c r="C322" s="107"/>
      <c r="D322" s="177"/>
      <c r="E322" s="177"/>
      <c r="F322" s="118" t="str">
        <f t="shared" si="125"/>
        <v/>
      </c>
      <c r="G322" s="177"/>
      <c r="H322" s="177"/>
      <c r="I322" s="177"/>
      <c r="J322" s="255" t="str">
        <f t="shared" si="126"/>
        <v/>
      </c>
      <c r="BS322" s="14"/>
      <c r="BT322" s="14"/>
      <c r="BU322" s="14"/>
      <c r="BV322" s="14"/>
    </row>
    <row r="323" spans="1:74" hidden="1" x14ac:dyDescent="0.3">
      <c r="A323" s="106">
        <v>311</v>
      </c>
      <c r="B323" s="106"/>
      <c r="C323" s="107"/>
      <c r="D323" s="177"/>
      <c r="E323" s="177"/>
      <c r="F323" s="118" t="str">
        <f t="shared" si="125"/>
        <v/>
      </c>
      <c r="G323" s="177"/>
      <c r="H323" s="177"/>
      <c r="I323" s="177"/>
      <c r="J323" s="255" t="str">
        <f t="shared" si="126"/>
        <v/>
      </c>
      <c r="BS323" s="14"/>
      <c r="BT323" s="14"/>
      <c r="BU323" s="14"/>
      <c r="BV323" s="14"/>
    </row>
    <row r="324" spans="1:74" hidden="1" x14ac:dyDescent="0.3">
      <c r="A324" s="106">
        <v>312</v>
      </c>
      <c r="B324" s="106"/>
      <c r="C324" s="107"/>
      <c r="D324" s="177"/>
      <c r="E324" s="177"/>
      <c r="F324" s="118" t="str">
        <f t="shared" si="125"/>
        <v/>
      </c>
      <c r="G324" s="177"/>
      <c r="H324" s="177"/>
      <c r="I324" s="177"/>
      <c r="J324" s="255" t="str">
        <f t="shared" si="126"/>
        <v/>
      </c>
      <c r="BS324" s="14"/>
      <c r="BT324" s="14"/>
      <c r="BU324" s="14"/>
      <c r="BV324" s="132"/>
    </row>
    <row r="325" spans="1:74" hidden="1" x14ac:dyDescent="0.3">
      <c r="A325" s="106">
        <v>313</v>
      </c>
      <c r="B325" s="106"/>
      <c r="C325" s="107"/>
      <c r="D325" s="177"/>
      <c r="E325" s="177"/>
      <c r="F325" s="118" t="str">
        <f t="shared" si="125"/>
        <v/>
      </c>
      <c r="G325" s="177"/>
      <c r="H325" s="177"/>
      <c r="I325" s="177"/>
      <c r="J325" s="255" t="str">
        <f t="shared" si="126"/>
        <v/>
      </c>
      <c r="BS325" s="14"/>
      <c r="BT325" s="14"/>
      <c r="BU325" s="14"/>
      <c r="BV325" s="14"/>
    </row>
    <row r="326" spans="1:74" hidden="1" x14ac:dyDescent="0.3">
      <c r="A326" s="106">
        <v>314</v>
      </c>
      <c r="B326" s="106"/>
      <c r="C326" s="107"/>
      <c r="D326" s="177"/>
      <c r="E326" s="177"/>
      <c r="F326" s="118" t="str">
        <f t="shared" si="125"/>
        <v/>
      </c>
      <c r="G326" s="177"/>
      <c r="H326" s="177"/>
      <c r="I326" s="177"/>
      <c r="J326" s="255" t="str">
        <f t="shared" si="126"/>
        <v/>
      </c>
      <c r="BS326" s="14"/>
      <c r="BT326" s="14"/>
      <c r="BU326" s="14"/>
      <c r="BV326" s="132"/>
    </row>
    <row r="327" spans="1:74" x14ac:dyDescent="0.3">
      <c r="BS327" s="14"/>
      <c r="BT327" s="14"/>
      <c r="BU327" s="14"/>
      <c r="BV327" s="14"/>
    </row>
    <row r="328" spans="1:74" x14ac:dyDescent="0.3">
      <c r="BS328" s="14"/>
      <c r="BT328" s="14"/>
      <c r="BU328" s="14"/>
    </row>
    <row r="329" spans="1:74" x14ac:dyDescent="0.3">
      <c r="BS329" s="14"/>
      <c r="BT329" s="14"/>
      <c r="BU329" s="14"/>
      <c r="BV329" s="14"/>
    </row>
    <row r="330" spans="1:74" x14ac:dyDescent="0.3">
      <c r="BS330" s="14"/>
      <c r="BT330" s="14"/>
      <c r="BU330" s="14"/>
      <c r="BV330" s="14"/>
    </row>
    <row r="331" spans="1:74" x14ac:dyDescent="0.3">
      <c r="BS331" s="14"/>
      <c r="BT331" s="14"/>
      <c r="BU331" s="14"/>
      <c r="BV331" s="14"/>
    </row>
    <row r="332" spans="1:74" x14ac:dyDescent="0.3">
      <c r="BS332" s="14"/>
      <c r="BT332" s="14"/>
      <c r="BU332" s="132"/>
      <c r="BV332" s="14"/>
    </row>
    <row r="333" spans="1:74" x14ac:dyDescent="0.3">
      <c r="BS333" s="132"/>
      <c r="BT333" s="132"/>
      <c r="BU333" s="14"/>
      <c r="BV333" s="14"/>
    </row>
    <row r="334" spans="1:74" x14ac:dyDescent="0.3">
      <c r="BS334" s="14"/>
      <c r="BT334" s="14"/>
      <c r="BU334" s="132"/>
      <c r="BV334" s="14"/>
    </row>
    <row r="335" spans="1:74" x14ac:dyDescent="0.3">
      <c r="BS335" s="132"/>
      <c r="BT335" s="132"/>
      <c r="BU335" s="14"/>
      <c r="BV335" s="14"/>
    </row>
    <row r="336" spans="1:74" x14ac:dyDescent="0.3">
      <c r="BS336" s="14"/>
      <c r="BT336" s="14"/>
      <c r="BV336" s="14"/>
    </row>
    <row r="337" spans="71:74" x14ac:dyDescent="0.3">
      <c r="BU337" s="14"/>
      <c r="BV337" s="14"/>
    </row>
    <row r="338" spans="71:74" x14ac:dyDescent="0.3">
      <c r="BS338" s="14"/>
      <c r="BT338" s="14"/>
      <c r="BU338" s="14"/>
      <c r="BV338" s="14"/>
    </row>
    <row r="339" spans="71:74" x14ac:dyDescent="0.3">
      <c r="BS339" s="14"/>
      <c r="BT339" s="14"/>
      <c r="BU339" s="14"/>
      <c r="BV339" s="14"/>
    </row>
    <row r="340" spans="71:74" x14ac:dyDescent="0.3">
      <c r="BS340" s="14"/>
      <c r="BT340" s="14"/>
      <c r="BU340" s="14"/>
      <c r="BV340" s="14"/>
    </row>
    <row r="341" spans="71:74" x14ac:dyDescent="0.3">
      <c r="BS341" s="14"/>
      <c r="BT341" s="14"/>
      <c r="BU341" s="14"/>
      <c r="BV341" s="132"/>
    </row>
    <row r="342" spans="71:74" x14ac:dyDescent="0.3">
      <c r="BS342" s="14"/>
      <c r="BT342" s="14"/>
      <c r="BU342" s="14"/>
      <c r="BV342" s="14"/>
    </row>
    <row r="343" spans="71:74" x14ac:dyDescent="0.3">
      <c r="BS343" s="14"/>
      <c r="BT343" s="14"/>
      <c r="BU343" s="14"/>
      <c r="BV343" s="132"/>
    </row>
    <row r="344" spans="71:74" x14ac:dyDescent="0.3">
      <c r="BS344" s="14"/>
      <c r="BT344" s="14"/>
      <c r="BU344" s="14"/>
      <c r="BV344" s="14"/>
    </row>
    <row r="345" spans="71:74" x14ac:dyDescent="0.3">
      <c r="BS345" s="14"/>
      <c r="BT345" s="14"/>
      <c r="BU345" s="14"/>
    </row>
    <row r="346" spans="71:74" x14ac:dyDescent="0.3">
      <c r="BS346" s="14"/>
      <c r="BT346" s="14"/>
      <c r="BU346" s="14"/>
      <c r="BV346" s="14"/>
    </row>
    <row r="347" spans="71:74" x14ac:dyDescent="0.3">
      <c r="BS347" s="14"/>
      <c r="BT347" s="14"/>
      <c r="BU347" s="14"/>
      <c r="BV347" s="14"/>
    </row>
    <row r="348" spans="71:74" x14ac:dyDescent="0.3">
      <c r="BS348" s="14"/>
      <c r="BT348" s="14"/>
      <c r="BU348" s="14"/>
      <c r="BV348" s="14"/>
    </row>
    <row r="349" spans="71:74" x14ac:dyDescent="0.3">
      <c r="BS349" s="14"/>
      <c r="BT349" s="14"/>
      <c r="BU349" s="132"/>
      <c r="BV349" s="14"/>
    </row>
    <row r="350" spans="71:74" x14ac:dyDescent="0.3">
      <c r="BS350" s="132"/>
      <c r="BT350" s="132"/>
      <c r="BU350" s="14"/>
      <c r="BV350" s="14"/>
    </row>
    <row r="351" spans="71:74" x14ac:dyDescent="0.3">
      <c r="BS351" s="14"/>
      <c r="BT351" s="14"/>
      <c r="BU351" s="132"/>
      <c r="BV351" s="14"/>
    </row>
    <row r="352" spans="71:74" x14ac:dyDescent="0.3">
      <c r="BS352" s="132"/>
      <c r="BT352" s="132"/>
      <c r="BU352" s="14"/>
      <c r="BV352" s="14"/>
    </row>
    <row r="353" spans="71:74" x14ac:dyDescent="0.3">
      <c r="BS353" s="14"/>
      <c r="BT353" s="14"/>
      <c r="BV353" s="14"/>
    </row>
    <row r="354" spans="71:74" x14ac:dyDescent="0.3">
      <c r="BU354" s="14"/>
      <c r="BV354" s="14"/>
    </row>
    <row r="355" spans="71:74" x14ac:dyDescent="0.3">
      <c r="BS355" s="14"/>
      <c r="BT355" s="14"/>
      <c r="BU355" s="14"/>
      <c r="BV355" s="14"/>
    </row>
    <row r="356" spans="71:74" x14ac:dyDescent="0.3">
      <c r="BS356" s="14"/>
      <c r="BT356" s="14"/>
      <c r="BU356" s="14"/>
      <c r="BV356" s="14"/>
    </row>
    <row r="357" spans="71:74" x14ac:dyDescent="0.3">
      <c r="BS357" s="14"/>
      <c r="BT357" s="14"/>
      <c r="BU357" s="14"/>
      <c r="BV357" s="14"/>
    </row>
    <row r="358" spans="71:74" x14ac:dyDescent="0.3">
      <c r="BS358" s="14"/>
      <c r="BT358" s="14"/>
      <c r="BU358" s="14"/>
      <c r="BV358" s="132"/>
    </row>
    <row r="359" spans="71:74" x14ac:dyDescent="0.3">
      <c r="BS359" s="14"/>
      <c r="BT359" s="14"/>
      <c r="BU359" s="14"/>
      <c r="BV359" s="14"/>
    </row>
    <row r="360" spans="71:74" ht="15" customHeight="1" x14ac:dyDescent="0.3">
      <c r="BS360" s="14"/>
      <c r="BT360" s="14"/>
      <c r="BU360" s="14"/>
      <c r="BV360" s="132"/>
    </row>
    <row r="361" spans="71:74" x14ac:dyDescent="0.3">
      <c r="BS361" s="14"/>
      <c r="BT361" s="14"/>
      <c r="BU361" s="14"/>
      <c r="BV361" s="14"/>
    </row>
    <row r="362" spans="71:74" x14ac:dyDescent="0.3">
      <c r="BS362" s="14"/>
      <c r="BT362" s="14"/>
      <c r="BU362" s="14"/>
    </row>
    <row r="363" spans="71:74" x14ac:dyDescent="0.3">
      <c r="BS363" s="14"/>
      <c r="BT363" s="14"/>
      <c r="BU363" s="14"/>
      <c r="BV363" s="14"/>
    </row>
    <row r="364" spans="71:74" x14ac:dyDescent="0.3">
      <c r="BS364" s="14"/>
      <c r="BT364" s="14"/>
      <c r="BU364" s="14"/>
      <c r="BV364" s="14"/>
    </row>
    <row r="365" spans="71:74" x14ac:dyDescent="0.3">
      <c r="BS365" s="14"/>
      <c r="BT365" s="14"/>
      <c r="BU365" s="14"/>
      <c r="BV365" s="14"/>
    </row>
    <row r="366" spans="71:74" x14ac:dyDescent="0.3">
      <c r="BS366" s="14"/>
      <c r="BT366" s="14"/>
      <c r="BU366" s="132"/>
      <c r="BV366" s="14"/>
    </row>
    <row r="367" spans="71:74" x14ac:dyDescent="0.3">
      <c r="BS367" s="132"/>
      <c r="BT367" s="132"/>
      <c r="BU367" s="14"/>
      <c r="BV367" s="14"/>
    </row>
    <row r="368" spans="71:74" x14ac:dyDescent="0.3">
      <c r="BS368" s="14"/>
      <c r="BT368" s="14"/>
      <c r="BU368" s="132"/>
      <c r="BV368" s="14"/>
    </row>
    <row r="369" spans="71:74" x14ac:dyDescent="0.3">
      <c r="BS369" s="132"/>
      <c r="BT369" s="132"/>
      <c r="BU369" s="14"/>
      <c r="BV369" s="14"/>
    </row>
    <row r="370" spans="71:74" x14ac:dyDescent="0.3">
      <c r="BS370" s="14"/>
      <c r="BT370" s="14"/>
      <c r="BV370" s="14"/>
    </row>
    <row r="371" spans="71:74" x14ac:dyDescent="0.3">
      <c r="BU371" s="14"/>
      <c r="BV371" s="14"/>
    </row>
    <row r="372" spans="71:74" x14ac:dyDescent="0.3">
      <c r="BS372" s="14"/>
      <c r="BT372" s="14"/>
      <c r="BU372" s="14"/>
      <c r="BV372" s="14"/>
    </row>
    <row r="373" spans="71:74" x14ac:dyDescent="0.3">
      <c r="BS373" s="14"/>
      <c r="BT373" s="14"/>
      <c r="BU373" s="14"/>
      <c r="BV373" s="14"/>
    </row>
    <row r="374" spans="71:74" x14ac:dyDescent="0.3">
      <c r="BS374" s="14"/>
      <c r="BT374" s="14"/>
      <c r="BU374" s="14"/>
      <c r="BV374" s="14"/>
    </row>
    <row r="375" spans="71:74" x14ac:dyDescent="0.3">
      <c r="BS375" s="14"/>
      <c r="BT375" s="14"/>
      <c r="BU375" s="14"/>
      <c r="BV375" s="132"/>
    </row>
    <row r="376" spans="71:74" x14ac:dyDescent="0.3">
      <c r="BS376" s="14"/>
      <c r="BT376" s="14"/>
      <c r="BU376" s="14"/>
      <c r="BV376" s="14"/>
    </row>
    <row r="377" spans="71:74" x14ac:dyDescent="0.3">
      <c r="BS377" s="14"/>
      <c r="BT377" s="14"/>
      <c r="BU377" s="14"/>
      <c r="BV377" s="132"/>
    </row>
    <row r="378" spans="71:74" x14ac:dyDescent="0.3">
      <c r="BS378" s="14"/>
      <c r="BT378" s="14"/>
      <c r="BU378" s="14"/>
      <c r="BV378" s="14"/>
    </row>
    <row r="379" spans="71:74" x14ac:dyDescent="0.3">
      <c r="BS379" s="14"/>
      <c r="BT379" s="14"/>
      <c r="BU379" s="14"/>
    </row>
    <row r="380" spans="71:74" x14ac:dyDescent="0.3">
      <c r="BS380" s="14"/>
      <c r="BT380" s="14"/>
      <c r="BU380" s="14"/>
      <c r="BV380" s="14"/>
    </row>
    <row r="381" spans="71:74" x14ac:dyDescent="0.3">
      <c r="BS381" s="14"/>
      <c r="BT381" s="14"/>
      <c r="BU381" s="14"/>
      <c r="BV381" s="14"/>
    </row>
    <row r="382" spans="71:74" x14ac:dyDescent="0.3">
      <c r="BS382" s="14"/>
      <c r="BT382" s="14"/>
      <c r="BU382" s="14"/>
      <c r="BV382" s="14"/>
    </row>
    <row r="383" spans="71:74" x14ac:dyDescent="0.3">
      <c r="BS383" s="14"/>
      <c r="BT383" s="14"/>
      <c r="BU383" s="132"/>
      <c r="BV383" s="14"/>
    </row>
    <row r="384" spans="71:74" x14ac:dyDescent="0.3">
      <c r="BS384" s="132"/>
      <c r="BT384" s="132"/>
      <c r="BU384" s="14"/>
      <c r="BV384" s="14"/>
    </row>
    <row r="385" spans="71:74" x14ac:dyDescent="0.3">
      <c r="BS385" s="14"/>
      <c r="BT385" s="14"/>
      <c r="BU385" s="132"/>
      <c r="BV385" s="14"/>
    </row>
    <row r="386" spans="71:74" x14ac:dyDescent="0.3">
      <c r="BS386" s="132"/>
      <c r="BT386" s="132"/>
      <c r="BU386" s="14"/>
      <c r="BV386" s="14"/>
    </row>
    <row r="387" spans="71:74" x14ac:dyDescent="0.3">
      <c r="BS387" s="14"/>
      <c r="BT387" s="14"/>
      <c r="BV387" s="14"/>
    </row>
    <row r="388" spans="71:74" x14ac:dyDescent="0.3">
      <c r="BU388" s="14"/>
      <c r="BV388" s="14"/>
    </row>
    <row r="389" spans="71:74" x14ac:dyDescent="0.3">
      <c r="BS389" s="14"/>
      <c r="BT389" s="14"/>
      <c r="BU389" s="14"/>
      <c r="BV389" s="14"/>
    </row>
    <row r="390" spans="71:74" x14ac:dyDescent="0.3">
      <c r="BS390" s="14"/>
      <c r="BT390" s="14"/>
      <c r="BU390" s="14"/>
      <c r="BV390" s="14"/>
    </row>
    <row r="391" spans="71:74" x14ac:dyDescent="0.3">
      <c r="BS391" s="14"/>
      <c r="BT391" s="14"/>
      <c r="BU391" s="14"/>
      <c r="BV391" s="14"/>
    </row>
    <row r="392" spans="71:74" x14ac:dyDescent="0.3">
      <c r="BS392" s="14"/>
      <c r="BT392" s="14"/>
      <c r="BU392" s="14"/>
      <c r="BV392" s="132"/>
    </row>
    <row r="393" spans="71:74" x14ac:dyDescent="0.3">
      <c r="BS393" s="14"/>
      <c r="BT393" s="14"/>
      <c r="BU393" s="14"/>
      <c r="BV393" s="14"/>
    </row>
    <row r="394" spans="71:74" x14ac:dyDescent="0.3">
      <c r="BS394" s="14"/>
      <c r="BT394" s="14"/>
      <c r="BU394" s="14"/>
      <c r="BV394" s="132"/>
    </row>
    <row r="395" spans="71:74" x14ac:dyDescent="0.3">
      <c r="BS395" s="14"/>
      <c r="BT395" s="14"/>
      <c r="BU395" s="14"/>
    </row>
    <row r="396" spans="71:74" x14ac:dyDescent="0.3">
      <c r="BS396" s="14"/>
      <c r="BT396" s="14"/>
      <c r="BU396" s="14"/>
    </row>
    <row r="397" spans="71:74" x14ac:dyDescent="0.3">
      <c r="BS397" s="14"/>
      <c r="BT397" s="14"/>
      <c r="BU397" s="14"/>
    </row>
    <row r="398" spans="71:74" x14ac:dyDescent="0.3">
      <c r="BS398" s="14"/>
      <c r="BT398" s="14"/>
      <c r="BU398" s="14"/>
    </row>
    <row r="399" spans="71:74" x14ac:dyDescent="0.3">
      <c r="BS399" s="14"/>
      <c r="BT399" s="14"/>
      <c r="BU399" s="14"/>
    </row>
    <row r="400" spans="71:74" x14ac:dyDescent="0.3">
      <c r="BS400" s="14"/>
      <c r="BT400" s="14"/>
      <c r="BU400" s="132"/>
    </row>
    <row r="401" spans="71:73" x14ac:dyDescent="0.3">
      <c r="BS401" s="132"/>
      <c r="BT401" s="132"/>
      <c r="BU401" s="14"/>
    </row>
    <row r="402" spans="71:73" x14ac:dyDescent="0.3">
      <c r="BS402" s="14"/>
      <c r="BT402" s="14"/>
      <c r="BU402" s="132"/>
    </row>
    <row r="403" spans="71:73" x14ac:dyDescent="0.3">
      <c r="BS403" s="132"/>
      <c r="BT403" s="132"/>
      <c r="BU403" s="14"/>
    </row>
    <row r="404" spans="71:73" x14ac:dyDescent="0.3">
      <c r="BS404" s="14"/>
      <c r="BT404" s="14"/>
    </row>
    <row r="405" spans="71:73" x14ac:dyDescent="0.3">
      <c r="BU405" s="14"/>
    </row>
    <row r="406" spans="71:73" x14ac:dyDescent="0.3">
      <c r="BS406" s="14"/>
      <c r="BT406" s="14"/>
      <c r="BU406" s="14"/>
    </row>
    <row r="407" spans="71:73" x14ac:dyDescent="0.3">
      <c r="BS407" s="14"/>
      <c r="BT407" s="14"/>
      <c r="BU407" s="14"/>
    </row>
    <row r="408" spans="71:73" x14ac:dyDescent="0.3">
      <c r="BS408" s="14"/>
      <c r="BT408" s="14"/>
      <c r="BU408" s="14"/>
    </row>
    <row r="409" spans="71:73" x14ac:dyDescent="0.3">
      <c r="BS409" s="14"/>
      <c r="BT409" s="14"/>
      <c r="BU409" s="14"/>
    </row>
    <row r="410" spans="71:73" x14ac:dyDescent="0.3">
      <c r="BS410" s="14"/>
      <c r="BT410" s="14"/>
      <c r="BU410" s="14"/>
    </row>
    <row r="411" spans="71:73" x14ac:dyDescent="0.3">
      <c r="BS411" s="14"/>
      <c r="BT411" s="14"/>
      <c r="BU411" s="14"/>
    </row>
    <row r="412" spans="71:73" x14ac:dyDescent="0.3">
      <c r="BS412" s="14"/>
      <c r="BT412" s="14"/>
      <c r="BU412" s="14"/>
    </row>
    <row r="413" spans="71:73" x14ac:dyDescent="0.3">
      <c r="BS413" s="14"/>
      <c r="BT413" s="14"/>
      <c r="BU413" s="14"/>
    </row>
    <row r="414" spans="71:73" x14ac:dyDescent="0.3">
      <c r="BS414" s="14"/>
      <c r="BT414" s="14"/>
      <c r="BU414" s="14"/>
    </row>
    <row r="415" spans="71:73" x14ac:dyDescent="0.3">
      <c r="BS415" s="14"/>
      <c r="BT415" s="14"/>
      <c r="BU415" s="14"/>
    </row>
    <row r="416" spans="71:73" x14ac:dyDescent="0.3">
      <c r="BS416" s="14"/>
      <c r="BT416" s="14"/>
      <c r="BU416" s="14"/>
    </row>
    <row r="417" spans="71:73" x14ac:dyDescent="0.3">
      <c r="BS417" s="14"/>
      <c r="BT417" s="14"/>
      <c r="BU417" s="132"/>
    </row>
    <row r="418" spans="71:73" x14ac:dyDescent="0.3">
      <c r="BS418" s="132"/>
      <c r="BT418" s="132"/>
      <c r="BU418" s="14"/>
    </row>
    <row r="419" spans="71:73" x14ac:dyDescent="0.3">
      <c r="BS419" s="14"/>
      <c r="BT419" s="14"/>
      <c r="BU419" s="132"/>
    </row>
    <row r="420" spans="71:73" x14ac:dyDescent="0.3">
      <c r="BS420" s="132"/>
      <c r="BT420" s="132"/>
      <c r="BU420" s="14"/>
    </row>
    <row r="421" spans="71:73" x14ac:dyDescent="0.3">
      <c r="BS421" s="14"/>
      <c r="BT421" s="14"/>
    </row>
    <row r="422" spans="71:73" x14ac:dyDescent="0.3">
      <c r="BU422" s="14"/>
    </row>
    <row r="423" spans="71:73" x14ac:dyDescent="0.3">
      <c r="BS423" s="14"/>
      <c r="BT423" s="14"/>
      <c r="BU423" s="14"/>
    </row>
    <row r="424" spans="71:73" x14ac:dyDescent="0.3">
      <c r="BS424" s="14"/>
      <c r="BT424" s="14"/>
      <c r="BU424" s="14"/>
    </row>
    <row r="425" spans="71:73" x14ac:dyDescent="0.3">
      <c r="BS425" s="14"/>
      <c r="BT425" s="14"/>
      <c r="BU425" s="14"/>
    </row>
    <row r="426" spans="71:73" x14ac:dyDescent="0.3">
      <c r="BS426" s="14"/>
      <c r="BT426" s="14"/>
      <c r="BU426" s="14"/>
    </row>
    <row r="427" spans="71:73" x14ac:dyDescent="0.3">
      <c r="BS427" s="14"/>
      <c r="BT427" s="14"/>
      <c r="BU427" s="14"/>
    </row>
    <row r="428" spans="71:73" x14ac:dyDescent="0.3">
      <c r="BS428" s="14"/>
      <c r="BT428" s="14"/>
      <c r="BU428" s="14"/>
    </row>
    <row r="429" spans="71:73" x14ac:dyDescent="0.3">
      <c r="BS429" s="14"/>
      <c r="BT429" s="14"/>
      <c r="BU429" s="14"/>
    </row>
    <row r="430" spans="71:73" x14ac:dyDescent="0.3">
      <c r="BS430" s="14"/>
      <c r="BT430" s="14"/>
      <c r="BU430" s="14"/>
    </row>
    <row r="431" spans="71:73" x14ac:dyDescent="0.3">
      <c r="BS431" s="14"/>
      <c r="BT431" s="14"/>
      <c r="BU431" s="14"/>
    </row>
    <row r="432" spans="71:73" x14ac:dyDescent="0.3">
      <c r="BS432" s="14"/>
      <c r="BT432" s="14"/>
      <c r="BU432" s="14"/>
    </row>
    <row r="433" spans="71:73" x14ac:dyDescent="0.3">
      <c r="BS433" s="14"/>
      <c r="BT433" s="14"/>
      <c r="BU433" s="14"/>
    </row>
    <row r="434" spans="71:73" x14ac:dyDescent="0.3">
      <c r="BS434" s="14"/>
      <c r="BT434" s="14"/>
      <c r="BU434" s="132"/>
    </row>
    <row r="435" spans="71:73" x14ac:dyDescent="0.3">
      <c r="BS435" s="132"/>
      <c r="BT435" s="132"/>
      <c r="BU435" s="14"/>
    </row>
    <row r="436" spans="71:73" x14ac:dyDescent="0.3">
      <c r="BS436" s="14"/>
      <c r="BT436" s="14"/>
      <c r="BU436" s="132"/>
    </row>
    <row r="437" spans="71:73" x14ac:dyDescent="0.3">
      <c r="BS437" s="132"/>
      <c r="BT437" s="132"/>
    </row>
  </sheetData>
  <sheetProtection algorithmName="SHA-512" hashValue="15qhGsjS/m2hSsQf2p05LSgyHn+Y1NdJr9NtvIYI0FyIDD8NHS6XompbiXIpOMisx7ibDfwsv6Zmzm9AK88AVw==" saltValue="zs15TAWaXp58I0b3TkOfKg==" spinCount="100000" sheet="1" objects="1" scenarios="1"/>
  <mergeCells count="1088">
    <mergeCell ref="BE89:BF89"/>
    <mergeCell ref="BB91:BC91"/>
    <mergeCell ref="BN37:BN42"/>
    <mergeCell ref="BO37:BO42"/>
    <mergeCell ref="BP37:BP42"/>
    <mergeCell ref="BD52:BF52"/>
    <mergeCell ref="BI37:BI42"/>
    <mergeCell ref="BJ37:BJ42"/>
    <mergeCell ref="BK37:BK42"/>
    <mergeCell ref="BB149:BC149"/>
    <mergeCell ref="BE149:BF149"/>
    <mergeCell ref="BB150:BC150"/>
    <mergeCell ref="BD150:BF150"/>
    <mergeCell ref="BB146:BC146"/>
    <mergeCell ref="BE146:BF146"/>
    <mergeCell ref="BB147:BC147"/>
    <mergeCell ref="BE147:BF147"/>
    <mergeCell ref="BB148:BC148"/>
    <mergeCell ref="BE148:BF148"/>
    <mergeCell ref="BB136:BC136"/>
    <mergeCell ref="BE136:BF136"/>
    <mergeCell ref="BB137:BC137"/>
    <mergeCell ref="BD137:BF137"/>
    <mergeCell ref="BB133:BC133"/>
    <mergeCell ref="BE133:BF133"/>
    <mergeCell ref="BB134:BC134"/>
    <mergeCell ref="BE134:BF134"/>
    <mergeCell ref="BB135:BC135"/>
    <mergeCell ref="BE135:BF135"/>
    <mergeCell ref="BB143:BC143"/>
    <mergeCell ref="BE143:BF143"/>
    <mergeCell ref="BB112:BF112"/>
    <mergeCell ref="BS3:BU3"/>
    <mergeCell ref="CA46:CA49"/>
    <mergeCell ref="BS53:BS56"/>
    <mergeCell ref="BT53:BT56"/>
    <mergeCell ref="BU53:BU56"/>
    <mergeCell ref="BV53:BV56"/>
    <mergeCell ref="BW53:BW56"/>
    <mergeCell ref="BX53:BX56"/>
    <mergeCell ref="BY53:BY56"/>
    <mergeCell ref="BZ53:BZ56"/>
    <mergeCell ref="CA53:CA56"/>
    <mergeCell ref="BB109:BC109"/>
    <mergeCell ref="BE109:BF109"/>
    <mergeCell ref="BB110:BC110"/>
    <mergeCell ref="BE110:BF110"/>
    <mergeCell ref="BB111:BC111"/>
    <mergeCell ref="BD111:BF111"/>
    <mergeCell ref="BB106:BC106"/>
    <mergeCell ref="BE106:BF106"/>
    <mergeCell ref="BB107:BC107"/>
    <mergeCell ref="BN76:BN81"/>
    <mergeCell ref="BO76:BO81"/>
    <mergeCell ref="BP76:BP81"/>
    <mergeCell ref="BD76:BF81"/>
    <mergeCell ref="BE70:BF70"/>
    <mergeCell ref="BE65:BF65"/>
    <mergeCell ref="BB90:BC90"/>
    <mergeCell ref="BE90:BF90"/>
    <mergeCell ref="BZ17:BZ20"/>
    <mergeCell ref="BS17:BU20"/>
    <mergeCell ref="BE107:BF107"/>
    <mergeCell ref="BV17:BV20"/>
    <mergeCell ref="BE121:BF121"/>
    <mergeCell ref="BE124:BF124"/>
    <mergeCell ref="BB144:BC144"/>
    <mergeCell ref="BE144:BF144"/>
    <mergeCell ref="BB145:BC145"/>
    <mergeCell ref="BE145:BF145"/>
    <mergeCell ref="BB140:BC140"/>
    <mergeCell ref="BE140:BF140"/>
    <mergeCell ref="BB141:BC141"/>
    <mergeCell ref="BE141:BF141"/>
    <mergeCell ref="BB142:BC142"/>
    <mergeCell ref="BE142:BF142"/>
    <mergeCell ref="BO115:BO120"/>
    <mergeCell ref="BP115:BP120"/>
    <mergeCell ref="BG115:BG120"/>
    <mergeCell ref="BH115:BH120"/>
    <mergeCell ref="BI115:BI120"/>
    <mergeCell ref="BJ115:BJ120"/>
    <mergeCell ref="BK115:BK120"/>
    <mergeCell ref="BB115:BC120"/>
    <mergeCell ref="BD115:BF120"/>
    <mergeCell ref="BB130:BC130"/>
    <mergeCell ref="BD130:BF130"/>
    <mergeCell ref="BB131:BC131"/>
    <mergeCell ref="BE131:BF131"/>
    <mergeCell ref="BB132:BC132"/>
    <mergeCell ref="BE132:BF132"/>
    <mergeCell ref="BL115:BL120"/>
    <mergeCell ref="BM115:BM120"/>
    <mergeCell ref="BN115:BN120"/>
    <mergeCell ref="BB127:BC127"/>
    <mergeCell ref="BE127:BF127"/>
    <mergeCell ref="BB128:BC128"/>
    <mergeCell ref="BE128:BF128"/>
    <mergeCell ref="BB129:BC129"/>
    <mergeCell ref="BE129:BF129"/>
    <mergeCell ref="BB122:BC122"/>
    <mergeCell ref="BE122:BF122"/>
    <mergeCell ref="BB123:BC123"/>
    <mergeCell ref="BE123:BF123"/>
    <mergeCell ref="BB126:BC126"/>
    <mergeCell ref="BE126:BF126"/>
    <mergeCell ref="BB125:BC125"/>
    <mergeCell ref="BB124:BC124"/>
    <mergeCell ref="BL37:BL42"/>
    <mergeCell ref="BM37:BM42"/>
    <mergeCell ref="BG37:BG42"/>
    <mergeCell ref="BH37:BH42"/>
    <mergeCell ref="BE48:BF48"/>
    <mergeCell ref="BG76:BG81"/>
    <mergeCell ref="BH76:BH81"/>
    <mergeCell ref="BI76:BI81"/>
    <mergeCell ref="BJ76:BJ81"/>
    <mergeCell ref="BK76:BK81"/>
    <mergeCell ref="BB71:BC71"/>
    <mergeCell ref="BE71:BF71"/>
    <mergeCell ref="BB72:BC72"/>
    <mergeCell ref="BD72:BF72"/>
    <mergeCell ref="BL76:BL81"/>
    <mergeCell ref="BM76:BM81"/>
    <mergeCell ref="BB73:BF73"/>
    <mergeCell ref="BB74:BC74"/>
    <mergeCell ref="BE74:BF74"/>
    <mergeCell ref="BB76:BC81"/>
    <mergeCell ref="BB151:BF151"/>
    <mergeCell ref="BE49:BF49"/>
    <mergeCell ref="BE56:BF56"/>
    <mergeCell ref="BB103:BC103"/>
    <mergeCell ref="BE103:BF103"/>
    <mergeCell ref="BB104:BC104"/>
    <mergeCell ref="BE105:BF105"/>
    <mergeCell ref="BB101:BC101"/>
    <mergeCell ref="BE102:BF102"/>
    <mergeCell ref="BB102:BC102"/>
    <mergeCell ref="BB95:BC95"/>
    <mergeCell ref="BE95:BF95"/>
    <mergeCell ref="BB96:BC96"/>
    <mergeCell ref="BB97:BC97"/>
    <mergeCell ref="BE97:BF97"/>
    <mergeCell ref="BE96:BF96"/>
    <mergeCell ref="BB92:BC92"/>
    <mergeCell ref="BB93:BC93"/>
    <mergeCell ref="BB66:BC66"/>
    <mergeCell ref="BE66:BF66"/>
    <mergeCell ref="BB67:BC67"/>
    <mergeCell ref="BE68:BF68"/>
    <mergeCell ref="BB63:BC63"/>
    <mergeCell ref="BE108:BF108"/>
    <mergeCell ref="BE125:BF125"/>
    <mergeCell ref="BB121:BC121"/>
    <mergeCell ref="BB138:BC138"/>
    <mergeCell ref="BE138:BF138"/>
    <mergeCell ref="BB139:BC139"/>
    <mergeCell ref="BD139:BF139"/>
    <mergeCell ref="BD91:BF91"/>
    <mergeCell ref="BB87:BC87"/>
    <mergeCell ref="BW17:BW20"/>
    <mergeCell ref="BB14:BC14"/>
    <mergeCell ref="BB25:BC25"/>
    <mergeCell ref="BB15:BC15"/>
    <mergeCell ref="BB16:BC16"/>
    <mergeCell ref="BE23:BF23"/>
    <mergeCell ref="BB29:BC29"/>
    <mergeCell ref="BE29:BF29"/>
    <mergeCell ref="BB30:BC30"/>
    <mergeCell ref="BE17:BF17"/>
    <mergeCell ref="BB23:BC23"/>
    <mergeCell ref="BB17:BC17"/>
    <mergeCell ref="BB18:BC18"/>
    <mergeCell ref="BB19:BC19"/>
    <mergeCell ref="BB21:BC21"/>
    <mergeCell ref="BE27:BF27"/>
    <mergeCell ref="BE28:BF28"/>
    <mergeCell ref="BB26:BC26"/>
    <mergeCell ref="BE25:BF25"/>
    <mergeCell ref="BE26:BF26"/>
    <mergeCell ref="BB27:BC27"/>
    <mergeCell ref="BB28:BC28"/>
    <mergeCell ref="BE19:BF19"/>
    <mergeCell ref="BE18:BF18"/>
    <mergeCell ref="BB20:BC20"/>
    <mergeCell ref="BB22:BC22"/>
    <mergeCell ref="BE14:BF14"/>
    <mergeCell ref="BE15:BF15"/>
    <mergeCell ref="BE16:BF16"/>
    <mergeCell ref="BD3:BF3"/>
    <mergeCell ref="BB3:BC3"/>
    <mergeCell ref="BB7:BC7"/>
    <mergeCell ref="BX17:BX20"/>
    <mergeCell ref="BY17:BY20"/>
    <mergeCell ref="BB51:BC51"/>
    <mergeCell ref="BE51:BF51"/>
    <mergeCell ref="BB52:BC52"/>
    <mergeCell ref="BB48:BC48"/>
    <mergeCell ref="BB46:BC46"/>
    <mergeCell ref="BE46:BF46"/>
    <mergeCell ref="BB47:BC47"/>
    <mergeCell ref="BE47:BF47"/>
    <mergeCell ref="BB50:BC50"/>
    <mergeCell ref="BE50:BF50"/>
    <mergeCell ref="BB49:BC49"/>
    <mergeCell ref="BE31:BF31"/>
    <mergeCell ref="BE30:BF30"/>
    <mergeCell ref="BB31:BC31"/>
    <mergeCell ref="BE32:BF32"/>
    <mergeCell ref="BD33:BF33"/>
    <mergeCell ref="BS4:BT5"/>
    <mergeCell ref="BS6:BT7"/>
    <mergeCell ref="BS21:BT23"/>
    <mergeCell ref="BE9:BF9"/>
    <mergeCell ref="BE21:BF21"/>
    <mergeCell ref="BD22:BF22"/>
    <mergeCell ref="BD20:BF20"/>
    <mergeCell ref="BB10:BC10"/>
    <mergeCell ref="BB11:BC11"/>
    <mergeCell ref="BB12:BC12"/>
    <mergeCell ref="BS8:BT9"/>
    <mergeCell ref="BS10:BT11"/>
    <mergeCell ref="BS12:BT13"/>
    <mergeCell ref="BS24:BT26"/>
    <mergeCell ref="BS27:BT29"/>
    <mergeCell ref="BS30:BT32"/>
    <mergeCell ref="BS33:BT35"/>
    <mergeCell ref="BB4:BC4"/>
    <mergeCell ref="BB5:BC5"/>
    <mergeCell ref="BB6:BC6"/>
    <mergeCell ref="BD13:BF13"/>
    <mergeCell ref="BE12:BF12"/>
    <mergeCell ref="BB9:BC9"/>
    <mergeCell ref="BB13:BC13"/>
    <mergeCell ref="BE7:BF7"/>
    <mergeCell ref="BE8:BF8"/>
    <mergeCell ref="BE4:BF4"/>
    <mergeCell ref="BB8:BC8"/>
    <mergeCell ref="BE5:BF5"/>
    <mergeCell ref="BE6:BF6"/>
    <mergeCell ref="BE24:BF24"/>
    <mergeCell ref="BB24:BC24"/>
    <mergeCell ref="BE10:BF10"/>
    <mergeCell ref="BE11:BF11"/>
    <mergeCell ref="BB32:BC32"/>
    <mergeCell ref="CA39:CA42"/>
    <mergeCell ref="CB39:CB42"/>
    <mergeCell ref="CB46:CB49"/>
    <mergeCell ref="CB53:CB56"/>
    <mergeCell ref="BZ46:BZ49"/>
    <mergeCell ref="BB44:BC44"/>
    <mergeCell ref="BE44:BF44"/>
    <mergeCell ref="BB45:BC45"/>
    <mergeCell ref="BE45:BF45"/>
    <mergeCell ref="BV46:BV49"/>
    <mergeCell ref="BW46:BW49"/>
    <mergeCell ref="BX46:BX49"/>
    <mergeCell ref="BY46:BY49"/>
    <mergeCell ref="BV39:BV42"/>
    <mergeCell ref="BW39:BW42"/>
    <mergeCell ref="BX39:BX42"/>
    <mergeCell ref="BY39:BY42"/>
    <mergeCell ref="BU46:BU49"/>
    <mergeCell ref="BS46:BS49"/>
    <mergeCell ref="BT46:BT49"/>
    <mergeCell ref="BS39:BS42"/>
    <mergeCell ref="BT39:BT42"/>
    <mergeCell ref="BU39:BU42"/>
    <mergeCell ref="BZ39:BZ42"/>
    <mergeCell ref="BB55:BC55"/>
    <mergeCell ref="BE55:BF55"/>
    <mergeCell ref="BE58:BF58"/>
    <mergeCell ref="BB57:BC57"/>
    <mergeCell ref="BE57:BF57"/>
    <mergeCell ref="BB53:BC53"/>
    <mergeCell ref="BE85:BF85"/>
    <mergeCell ref="BE67:BF67"/>
    <mergeCell ref="BE63:BF63"/>
    <mergeCell ref="BB64:BC64"/>
    <mergeCell ref="BE64:BF64"/>
    <mergeCell ref="BB65:BC65"/>
    <mergeCell ref="BB68:BC68"/>
    <mergeCell ref="BB60:BC60"/>
    <mergeCell ref="BE60:BF60"/>
    <mergeCell ref="BB61:BC61"/>
    <mergeCell ref="BB62:BC62"/>
    <mergeCell ref="BE62:BF62"/>
    <mergeCell ref="BD61:BF61"/>
    <mergeCell ref="BB59:BC59"/>
    <mergeCell ref="BD59:BF59"/>
    <mergeCell ref="BB83:BC83"/>
    <mergeCell ref="BB84:BC84"/>
    <mergeCell ref="BE84:BF84"/>
    <mergeCell ref="BB85:BC85"/>
    <mergeCell ref="BB82:BC82"/>
    <mergeCell ref="BE82:BF82"/>
    <mergeCell ref="BE83:BF83"/>
    <mergeCell ref="BE53:BF53"/>
    <mergeCell ref="BB54:BC54"/>
    <mergeCell ref="BE93:BF93"/>
    <mergeCell ref="BB94:BC94"/>
    <mergeCell ref="BE94:BF94"/>
    <mergeCell ref="BE92:BF92"/>
    <mergeCell ref="BB89:BC89"/>
    <mergeCell ref="BB98:BC98"/>
    <mergeCell ref="BB33:BC33"/>
    <mergeCell ref="BB43:BC43"/>
    <mergeCell ref="BE43:BF43"/>
    <mergeCell ref="BB37:BC42"/>
    <mergeCell ref="BB99:BC99"/>
    <mergeCell ref="BE99:BF99"/>
    <mergeCell ref="BB100:BC100"/>
    <mergeCell ref="BB108:BC108"/>
    <mergeCell ref="BB34:BF34"/>
    <mergeCell ref="BE87:BF87"/>
    <mergeCell ref="BB88:BC88"/>
    <mergeCell ref="BE88:BF88"/>
    <mergeCell ref="BE69:BF69"/>
    <mergeCell ref="BB69:BC69"/>
    <mergeCell ref="BB70:BC70"/>
    <mergeCell ref="BD98:BF98"/>
    <mergeCell ref="BD100:BF100"/>
    <mergeCell ref="BE101:BF101"/>
    <mergeCell ref="BE104:BF104"/>
    <mergeCell ref="BB105:BC105"/>
    <mergeCell ref="BB56:BC56"/>
    <mergeCell ref="BD37:BF42"/>
    <mergeCell ref="BE54:BF54"/>
    <mergeCell ref="BB86:BC86"/>
    <mergeCell ref="BE86:BF86"/>
    <mergeCell ref="BB58:BC58"/>
    <mergeCell ref="T8:U8"/>
    <mergeCell ref="W8:X8"/>
    <mergeCell ref="T9:U9"/>
    <mergeCell ref="W9:X9"/>
    <mergeCell ref="T10:U10"/>
    <mergeCell ref="W10:X10"/>
    <mergeCell ref="T11:U11"/>
    <mergeCell ref="W11:X11"/>
    <mergeCell ref="T12:U12"/>
    <mergeCell ref="W12:X12"/>
    <mergeCell ref="T3:U3"/>
    <mergeCell ref="V3:X3"/>
    <mergeCell ref="T4:U4"/>
    <mergeCell ref="W4:X4"/>
    <mergeCell ref="T5:U5"/>
    <mergeCell ref="W5:X5"/>
    <mergeCell ref="T6:U6"/>
    <mergeCell ref="W6:X6"/>
    <mergeCell ref="T7:U7"/>
    <mergeCell ref="W7:X7"/>
    <mergeCell ref="T18:U18"/>
    <mergeCell ref="W18:X18"/>
    <mergeCell ref="T19:U19"/>
    <mergeCell ref="W19:X19"/>
    <mergeCell ref="T20:U20"/>
    <mergeCell ref="V20:X20"/>
    <mergeCell ref="T21:U21"/>
    <mergeCell ref="W21:X21"/>
    <mergeCell ref="T22:U22"/>
    <mergeCell ref="V22:X22"/>
    <mergeCell ref="T13:U13"/>
    <mergeCell ref="V13:X13"/>
    <mergeCell ref="T14:U14"/>
    <mergeCell ref="W14:X14"/>
    <mergeCell ref="T15:U15"/>
    <mergeCell ref="W15:X15"/>
    <mergeCell ref="T16:U16"/>
    <mergeCell ref="W16:X16"/>
    <mergeCell ref="T17:U17"/>
    <mergeCell ref="W17:X17"/>
    <mergeCell ref="T28:U28"/>
    <mergeCell ref="W28:X28"/>
    <mergeCell ref="T29:U29"/>
    <mergeCell ref="W29:X29"/>
    <mergeCell ref="T30:U30"/>
    <mergeCell ref="W30:X30"/>
    <mergeCell ref="T31:U31"/>
    <mergeCell ref="W31:X31"/>
    <mergeCell ref="T32:U32"/>
    <mergeCell ref="W32:X32"/>
    <mergeCell ref="T23:U23"/>
    <mergeCell ref="W23:X23"/>
    <mergeCell ref="T24:U24"/>
    <mergeCell ref="W24:X24"/>
    <mergeCell ref="T25:U25"/>
    <mergeCell ref="W25:X25"/>
    <mergeCell ref="T26:U26"/>
    <mergeCell ref="W26:X26"/>
    <mergeCell ref="T27:U27"/>
    <mergeCell ref="W27:X27"/>
    <mergeCell ref="T40:U40"/>
    <mergeCell ref="W40:X40"/>
    <mergeCell ref="T41:U41"/>
    <mergeCell ref="W41:X41"/>
    <mergeCell ref="T42:U42"/>
    <mergeCell ref="W42:X42"/>
    <mergeCell ref="T43:U43"/>
    <mergeCell ref="W43:X43"/>
    <mergeCell ref="T44:U44"/>
    <mergeCell ref="W44:X44"/>
    <mergeCell ref="T33:U33"/>
    <mergeCell ref="V33:X33"/>
    <mergeCell ref="T34:X34"/>
    <mergeCell ref="T37:U37"/>
    <mergeCell ref="V37:X37"/>
    <mergeCell ref="T38:U38"/>
    <mergeCell ref="W38:X38"/>
    <mergeCell ref="T39:U39"/>
    <mergeCell ref="W39:X39"/>
    <mergeCell ref="T50:U50"/>
    <mergeCell ref="W50:X50"/>
    <mergeCell ref="T51:U51"/>
    <mergeCell ref="W51:X51"/>
    <mergeCell ref="T52:U52"/>
    <mergeCell ref="W52:X52"/>
    <mergeCell ref="T53:U53"/>
    <mergeCell ref="W53:X53"/>
    <mergeCell ref="T54:U54"/>
    <mergeCell ref="V54:X54"/>
    <mergeCell ref="T45:U45"/>
    <mergeCell ref="W45:X45"/>
    <mergeCell ref="T46:U46"/>
    <mergeCell ref="W46:X46"/>
    <mergeCell ref="T47:U47"/>
    <mergeCell ref="V47:X47"/>
    <mergeCell ref="T48:U48"/>
    <mergeCell ref="W48:X48"/>
    <mergeCell ref="T49:U49"/>
    <mergeCell ref="W49:X49"/>
    <mergeCell ref="T60:U60"/>
    <mergeCell ref="W60:X60"/>
    <mergeCell ref="T61:U61"/>
    <mergeCell ref="W61:X61"/>
    <mergeCell ref="T62:U62"/>
    <mergeCell ref="W62:X62"/>
    <mergeCell ref="T63:U63"/>
    <mergeCell ref="W63:X63"/>
    <mergeCell ref="T64:U64"/>
    <mergeCell ref="W64:X64"/>
    <mergeCell ref="T55:U55"/>
    <mergeCell ref="W55:X55"/>
    <mergeCell ref="T56:U56"/>
    <mergeCell ref="V56:X56"/>
    <mergeCell ref="T57:U57"/>
    <mergeCell ref="W57:X57"/>
    <mergeCell ref="T58:U58"/>
    <mergeCell ref="W58:X58"/>
    <mergeCell ref="T59:U59"/>
    <mergeCell ref="W59:X59"/>
    <mergeCell ref="T72:U72"/>
    <mergeCell ref="W72:X72"/>
    <mergeCell ref="T73:U73"/>
    <mergeCell ref="W73:X73"/>
    <mergeCell ref="T74:U74"/>
    <mergeCell ref="W74:X74"/>
    <mergeCell ref="T75:U75"/>
    <mergeCell ref="W75:X75"/>
    <mergeCell ref="T76:U76"/>
    <mergeCell ref="W76:X76"/>
    <mergeCell ref="T65:U65"/>
    <mergeCell ref="W65:X65"/>
    <mergeCell ref="T66:U66"/>
    <mergeCell ref="W66:X66"/>
    <mergeCell ref="T67:U67"/>
    <mergeCell ref="V67:X67"/>
    <mergeCell ref="T68:X68"/>
    <mergeCell ref="T71:U71"/>
    <mergeCell ref="V71:X71"/>
    <mergeCell ref="T82:U82"/>
    <mergeCell ref="W82:X82"/>
    <mergeCell ref="T83:U83"/>
    <mergeCell ref="W83:X83"/>
    <mergeCell ref="T84:U84"/>
    <mergeCell ref="W84:X84"/>
    <mergeCell ref="T85:U85"/>
    <mergeCell ref="W85:X85"/>
    <mergeCell ref="T86:U86"/>
    <mergeCell ref="W86:X86"/>
    <mergeCell ref="T77:U77"/>
    <mergeCell ref="W77:X77"/>
    <mergeCell ref="T78:U78"/>
    <mergeCell ref="W78:X78"/>
    <mergeCell ref="T79:U79"/>
    <mergeCell ref="W79:X79"/>
    <mergeCell ref="T80:U80"/>
    <mergeCell ref="W80:X80"/>
    <mergeCell ref="T81:U81"/>
    <mergeCell ref="V81:X81"/>
    <mergeCell ref="T92:U92"/>
    <mergeCell ref="W92:X92"/>
    <mergeCell ref="T93:U93"/>
    <mergeCell ref="W93:X93"/>
    <mergeCell ref="T94:U94"/>
    <mergeCell ref="W94:X94"/>
    <mergeCell ref="T95:U95"/>
    <mergeCell ref="W95:X95"/>
    <mergeCell ref="T96:U96"/>
    <mergeCell ref="W96:X96"/>
    <mergeCell ref="T87:U87"/>
    <mergeCell ref="W87:X87"/>
    <mergeCell ref="T88:U88"/>
    <mergeCell ref="V88:X88"/>
    <mergeCell ref="T89:U89"/>
    <mergeCell ref="W89:X89"/>
    <mergeCell ref="T90:U90"/>
    <mergeCell ref="V90:X90"/>
    <mergeCell ref="T91:U91"/>
    <mergeCell ref="W91:X91"/>
    <mergeCell ref="T102:X102"/>
    <mergeCell ref="T105:U105"/>
    <mergeCell ref="V105:X105"/>
    <mergeCell ref="T106:U106"/>
    <mergeCell ref="W106:X106"/>
    <mergeCell ref="T107:U107"/>
    <mergeCell ref="W107:X107"/>
    <mergeCell ref="T108:U108"/>
    <mergeCell ref="W108:X108"/>
    <mergeCell ref="T97:U97"/>
    <mergeCell ref="W97:X97"/>
    <mergeCell ref="T98:U98"/>
    <mergeCell ref="W98:X98"/>
    <mergeCell ref="T99:U99"/>
    <mergeCell ref="W99:X99"/>
    <mergeCell ref="T100:U100"/>
    <mergeCell ref="W100:X100"/>
    <mergeCell ref="T101:U101"/>
    <mergeCell ref="V101:X101"/>
    <mergeCell ref="T114:U114"/>
    <mergeCell ref="W114:X114"/>
    <mergeCell ref="T115:U115"/>
    <mergeCell ref="V115:X115"/>
    <mergeCell ref="T116:U116"/>
    <mergeCell ref="W116:X116"/>
    <mergeCell ref="T117:U117"/>
    <mergeCell ref="W117:X117"/>
    <mergeCell ref="T118:U118"/>
    <mergeCell ref="W118:X118"/>
    <mergeCell ref="T109:U109"/>
    <mergeCell ref="W109:X109"/>
    <mergeCell ref="T110:U110"/>
    <mergeCell ref="W110:X110"/>
    <mergeCell ref="T111:U111"/>
    <mergeCell ref="W111:X111"/>
    <mergeCell ref="T112:U112"/>
    <mergeCell ref="W112:X112"/>
    <mergeCell ref="T113:U113"/>
    <mergeCell ref="W113:X113"/>
    <mergeCell ref="T124:U124"/>
    <mergeCell ref="V124:X124"/>
    <mergeCell ref="T125:U125"/>
    <mergeCell ref="W125:X125"/>
    <mergeCell ref="T126:U126"/>
    <mergeCell ref="W126:X126"/>
    <mergeCell ref="T127:U127"/>
    <mergeCell ref="W127:X127"/>
    <mergeCell ref="T128:U128"/>
    <mergeCell ref="W128:X128"/>
    <mergeCell ref="T119:U119"/>
    <mergeCell ref="W119:X119"/>
    <mergeCell ref="T120:U120"/>
    <mergeCell ref="W120:X120"/>
    <mergeCell ref="T121:U121"/>
    <mergeCell ref="W121:X121"/>
    <mergeCell ref="T122:U122"/>
    <mergeCell ref="V122:X122"/>
    <mergeCell ref="T123:U123"/>
    <mergeCell ref="W123:X123"/>
    <mergeCell ref="T134:U134"/>
    <mergeCell ref="W134:X134"/>
    <mergeCell ref="T135:U135"/>
    <mergeCell ref="V135:X135"/>
    <mergeCell ref="T136:X136"/>
    <mergeCell ref="T139:U139"/>
    <mergeCell ref="V139:X139"/>
    <mergeCell ref="T140:U140"/>
    <mergeCell ref="W140:X140"/>
    <mergeCell ref="T129:U129"/>
    <mergeCell ref="W129:X129"/>
    <mergeCell ref="T130:U130"/>
    <mergeCell ref="W130:X130"/>
    <mergeCell ref="T131:U131"/>
    <mergeCell ref="W131:X131"/>
    <mergeCell ref="T132:U132"/>
    <mergeCell ref="W132:X132"/>
    <mergeCell ref="T133:U133"/>
    <mergeCell ref="W133:X133"/>
    <mergeCell ref="T146:U146"/>
    <mergeCell ref="W146:X146"/>
    <mergeCell ref="T147:U147"/>
    <mergeCell ref="W147:X147"/>
    <mergeCell ref="T148:U148"/>
    <mergeCell ref="W148:X148"/>
    <mergeCell ref="T149:U149"/>
    <mergeCell ref="V149:X149"/>
    <mergeCell ref="T150:U150"/>
    <mergeCell ref="W150:X150"/>
    <mergeCell ref="T141:U141"/>
    <mergeCell ref="W141:X141"/>
    <mergeCell ref="T142:U142"/>
    <mergeCell ref="W142:X142"/>
    <mergeCell ref="T143:U143"/>
    <mergeCell ref="W143:X143"/>
    <mergeCell ref="T144:U144"/>
    <mergeCell ref="W144:X144"/>
    <mergeCell ref="T145:U145"/>
    <mergeCell ref="W145:X145"/>
    <mergeCell ref="T156:U156"/>
    <mergeCell ref="V156:X156"/>
    <mergeCell ref="T157:U157"/>
    <mergeCell ref="W157:X157"/>
    <mergeCell ref="T158:U158"/>
    <mergeCell ref="V158:X158"/>
    <mergeCell ref="T159:U159"/>
    <mergeCell ref="W159:X159"/>
    <mergeCell ref="T160:U160"/>
    <mergeCell ref="W160:X160"/>
    <mergeCell ref="T151:U151"/>
    <mergeCell ref="W151:X151"/>
    <mergeCell ref="T152:U152"/>
    <mergeCell ref="W152:X152"/>
    <mergeCell ref="T153:U153"/>
    <mergeCell ref="W153:X153"/>
    <mergeCell ref="T154:U154"/>
    <mergeCell ref="W154:X154"/>
    <mergeCell ref="T155:U155"/>
    <mergeCell ref="W155:X155"/>
    <mergeCell ref="T166:U166"/>
    <mergeCell ref="W166:X166"/>
    <mergeCell ref="T167:U167"/>
    <mergeCell ref="W167:X167"/>
    <mergeCell ref="T168:U168"/>
    <mergeCell ref="W168:X168"/>
    <mergeCell ref="T169:U169"/>
    <mergeCell ref="V169:X169"/>
    <mergeCell ref="T170:X170"/>
    <mergeCell ref="T161:U161"/>
    <mergeCell ref="W161:X161"/>
    <mergeCell ref="T162:U162"/>
    <mergeCell ref="W162:X162"/>
    <mergeCell ref="T163:U163"/>
    <mergeCell ref="W163:X163"/>
    <mergeCell ref="T164:U164"/>
    <mergeCell ref="W164:X164"/>
    <mergeCell ref="T165:U165"/>
    <mergeCell ref="W165:X165"/>
    <mergeCell ref="T178:U178"/>
    <mergeCell ref="W178:X178"/>
    <mergeCell ref="T179:U179"/>
    <mergeCell ref="W179:X179"/>
    <mergeCell ref="T180:U180"/>
    <mergeCell ref="W180:X180"/>
    <mergeCell ref="T181:U181"/>
    <mergeCell ref="W181:X181"/>
    <mergeCell ref="T182:U182"/>
    <mergeCell ref="W182:X182"/>
    <mergeCell ref="T173:U173"/>
    <mergeCell ref="V173:X173"/>
    <mergeCell ref="T174:U174"/>
    <mergeCell ref="W174:X174"/>
    <mergeCell ref="T175:U175"/>
    <mergeCell ref="W175:X175"/>
    <mergeCell ref="T176:U176"/>
    <mergeCell ref="W176:X176"/>
    <mergeCell ref="T177:U177"/>
    <mergeCell ref="W177:X177"/>
    <mergeCell ref="T188:U188"/>
    <mergeCell ref="W188:X188"/>
    <mergeCell ref="T189:U189"/>
    <mergeCell ref="W189:X189"/>
    <mergeCell ref="T190:U190"/>
    <mergeCell ref="V190:X190"/>
    <mergeCell ref="T191:U191"/>
    <mergeCell ref="W191:X191"/>
    <mergeCell ref="T192:U192"/>
    <mergeCell ref="V192:X192"/>
    <mergeCell ref="T183:U183"/>
    <mergeCell ref="V183:X183"/>
    <mergeCell ref="T184:U184"/>
    <mergeCell ref="W184:X184"/>
    <mergeCell ref="T185:U185"/>
    <mergeCell ref="W185:X185"/>
    <mergeCell ref="T186:U186"/>
    <mergeCell ref="W186:X186"/>
    <mergeCell ref="T187:U187"/>
    <mergeCell ref="W187:X187"/>
    <mergeCell ref="T203:U203"/>
    <mergeCell ref="V203:X203"/>
    <mergeCell ref="T204:X204"/>
    <mergeCell ref="T198:U198"/>
    <mergeCell ref="W198:X198"/>
    <mergeCell ref="T199:U199"/>
    <mergeCell ref="W199:X199"/>
    <mergeCell ref="T200:U200"/>
    <mergeCell ref="W200:X200"/>
    <mergeCell ref="T201:U201"/>
    <mergeCell ref="W201:X201"/>
    <mergeCell ref="T202:U202"/>
    <mergeCell ref="W202:X202"/>
    <mergeCell ref="T193:U193"/>
    <mergeCell ref="W193:X193"/>
    <mergeCell ref="T194:U194"/>
    <mergeCell ref="W194:X194"/>
    <mergeCell ref="T195:U195"/>
    <mergeCell ref="W195:X195"/>
    <mergeCell ref="T196:U196"/>
    <mergeCell ref="W196:X196"/>
    <mergeCell ref="T197:U197"/>
    <mergeCell ref="W197:X197"/>
    <mergeCell ref="AM88:AO88"/>
    <mergeCell ref="AM90:AO90"/>
    <mergeCell ref="AN91:AO91"/>
    <mergeCell ref="AN98:AO98"/>
    <mergeCell ref="AN100:AO100"/>
    <mergeCell ref="AM101:AO101"/>
    <mergeCell ref="AK102:AO102"/>
    <mergeCell ref="AK84:AL84"/>
    <mergeCell ref="AN84:AO84"/>
    <mergeCell ref="AK85:AL85"/>
    <mergeCell ref="AN85:AO85"/>
    <mergeCell ref="AK86:AL86"/>
    <mergeCell ref="AN86:AO86"/>
    <mergeCell ref="AK87:AL87"/>
    <mergeCell ref="AN87:AO87"/>
    <mergeCell ref="AK88:AL88"/>
    <mergeCell ref="AK89:AL89"/>
    <mergeCell ref="AN89:AO89"/>
    <mergeCell ref="AK90:AL90"/>
    <mergeCell ref="AK91:AL91"/>
    <mergeCell ref="AK92:AL92"/>
    <mergeCell ref="AN92:AO92"/>
    <mergeCell ref="AK98:AL98"/>
    <mergeCell ref="AK99:AL99"/>
    <mergeCell ref="AN99:AO99"/>
    <mergeCell ref="AK100:AL100"/>
    <mergeCell ref="AK101:AL101"/>
    <mergeCell ref="AK93:AL93"/>
    <mergeCell ref="AN93:AO93"/>
    <mergeCell ref="AK94:AL94"/>
    <mergeCell ref="AN94:AO94"/>
    <mergeCell ref="AK95:AL95"/>
    <mergeCell ref="AK109:AL109"/>
    <mergeCell ref="AN109:AO109"/>
    <mergeCell ref="AK110:AL110"/>
    <mergeCell ref="AN110:AO110"/>
    <mergeCell ref="AK111:AL111"/>
    <mergeCell ref="AK105:AL105"/>
    <mergeCell ref="AK106:AL106"/>
    <mergeCell ref="AN106:AO106"/>
    <mergeCell ref="AK107:AL107"/>
    <mergeCell ref="AN107:AO107"/>
    <mergeCell ref="AK123:AL123"/>
    <mergeCell ref="AN123:AO123"/>
    <mergeCell ref="AK124:AL124"/>
    <mergeCell ref="AK125:AL125"/>
    <mergeCell ref="AN125:AO125"/>
    <mergeCell ref="AK126:AL126"/>
    <mergeCell ref="AN126:AO126"/>
    <mergeCell ref="AK116:AL116"/>
    <mergeCell ref="AK152:AL152"/>
    <mergeCell ref="AN152:AO152"/>
    <mergeCell ref="AK153:AL153"/>
    <mergeCell ref="AN153:AO153"/>
    <mergeCell ref="AK154:AL154"/>
    <mergeCell ref="AN154:AO154"/>
    <mergeCell ref="AK155:AL155"/>
    <mergeCell ref="AN155:AO155"/>
    <mergeCell ref="AK156:AL156"/>
    <mergeCell ref="AM156:AO156"/>
    <mergeCell ref="AM122:AO122"/>
    <mergeCell ref="AM124:AO124"/>
    <mergeCell ref="AN130:AO130"/>
    <mergeCell ref="AM135:AO135"/>
    <mergeCell ref="AK136:AO136"/>
    <mergeCell ref="AM149:AO149"/>
    <mergeCell ref="AN150:AO150"/>
    <mergeCell ref="AK151:AL151"/>
    <mergeCell ref="AN151:AO151"/>
    <mergeCell ref="AK127:AL127"/>
    <mergeCell ref="AN127:AO127"/>
    <mergeCell ref="AK128:AL128"/>
    <mergeCell ref="AN128:AO128"/>
    <mergeCell ref="AK129:AL129"/>
    <mergeCell ref="AN129:AO129"/>
    <mergeCell ref="AK130:AL130"/>
    <mergeCell ref="AK131:AL131"/>
    <mergeCell ref="AN131:AO131"/>
    <mergeCell ref="AK132:AL132"/>
    <mergeCell ref="AN132:AO132"/>
    <mergeCell ref="AK133:AL133"/>
    <mergeCell ref="AN133:AO133"/>
    <mergeCell ref="AK162:AL162"/>
    <mergeCell ref="AN162:AO162"/>
    <mergeCell ref="AK163:AL163"/>
    <mergeCell ref="AN163:AO163"/>
    <mergeCell ref="AK164:AL164"/>
    <mergeCell ref="AN164:AO164"/>
    <mergeCell ref="AK165:AL165"/>
    <mergeCell ref="AN165:AO165"/>
    <mergeCell ref="AK166:AL166"/>
    <mergeCell ref="AN166:AO166"/>
    <mergeCell ref="AK157:AL157"/>
    <mergeCell ref="AN157:AO157"/>
    <mergeCell ref="AK158:AL158"/>
    <mergeCell ref="AM158:AO158"/>
    <mergeCell ref="AK159:AL159"/>
    <mergeCell ref="AN159:AO159"/>
    <mergeCell ref="AK160:AL160"/>
    <mergeCell ref="AN160:AO160"/>
    <mergeCell ref="AK161:AL161"/>
    <mergeCell ref="AN161:AO161"/>
    <mergeCell ref="AK174:AL174"/>
    <mergeCell ref="AN174:AO174"/>
    <mergeCell ref="AK175:AL175"/>
    <mergeCell ref="AN175:AO175"/>
    <mergeCell ref="AK176:AL176"/>
    <mergeCell ref="AN176:AO176"/>
    <mergeCell ref="AK177:AL177"/>
    <mergeCell ref="AN177:AO177"/>
    <mergeCell ref="AK178:AL178"/>
    <mergeCell ref="AN178:AO178"/>
    <mergeCell ref="AK167:AL167"/>
    <mergeCell ref="AN167:AO167"/>
    <mergeCell ref="AK168:AL168"/>
    <mergeCell ref="AN168:AO168"/>
    <mergeCell ref="AK169:AL169"/>
    <mergeCell ref="AM169:AO169"/>
    <mergeCell ref="AK170:AO170"/>
    <mergeCell ref="AK173:AL173"/>
    <mergeCell ref="AM173:AO173"/>
    <mergeCell ref="AK184:AL184"/>
    <mergeCell ref="AN184:AO184"/>
    <mergeCell ref="AK185:AL185"/>
    <mergeCell ref="AN185:AO185"/>
    <mergeCell ref="AK186:AL186"/>
    <mergeCell ref="AN186:AO186"/>
    <mergeCell ref="AK187:AL187"/>
    <mergeCell ref="AN187:AO187"/>
    <mergeCell ref="AK188:AL188"/>
    <mergeCell ref="AN188:AO188"/>
    <mergeCell ref="AK179:AL179"/>
    <mergeCell ref="AN179:AO179"/>
    <mergeCell ref="AK180:AL180"/>
    <mergeCell ref="AN180:AO180"/>
    <mergeCell ref="AK181:AL181"/>
    <mergeCell ref="AN181:AO181"/>
    <mergeCell ref="AK182:AL182"/>
    <mergeCell ref="AN182:AO182"/>
    <mergeCell ref="AK183:AL183"/>
    <mergeCell ref="AM183:AO183"/>
    <mergeCell ref="AK203:AL203"/>
    <mergeCell ref="AM203:AO203"/>
    <mergeCell ref="AK194:AL194"/>
    <mergeCell ref="AN194:AO194"/>
    <mergeCell ref="AK195:AL195"/>
    <mergeCell ref="AN195:AO195"/>
    <mergeCell ref="AK196:AL196"/>
    <mergeCell ref="AN196:AO196"/>
    <mergeCell ref="AK197:AL197"/>
    <mergeCell ref="AN197:AO197"/>
    <mergeCell ref="AK198:AL198"/>
    <mergeCell ref="AN198:AO198"/>
    <mergeCell ref="AK189:AL189"/>
    <mergeCell ref="AN189:AO189"/>
    <mergeCell ref="AK190:AL190"/>
    <mergeCell ref="AM190:AO190"/>
    <mergeCell ref="AK191:AL191"/>
    <mergeCell ref="AN191:AO191"/>
    <mergeCell ref="AK192:AL192"/>
    <mergeCell ref="AM192:AO192"/>
    <mergeCell ref="AK193:AL193"/>
    <mergeCell ref="AN193:AO193"/>
    <mergeCell ref="AK204:AO204"/>
    <mergeCell ref="AK3:AL3"/>
    <mergeCell ref="AM3:AO3"/>
    <mergeCell ref="AK4:AL4"/>
    <mergeCell ref="AN4:AO4"/>
    <mergeCell ref="AK5:AL5"/>
    <mergeCell ref="AN5:AO5"/>
    <mergeCell ref="AK6:AL6"/>
    <mergeCell ref="AN6:AO6"/>
    <mergeCell ref="AK7:AL7"/>
    <mergeCell ref="AN7:AO7"/>
    <mergeCell ref="AK8:AL8"/>
    <mergeCell ref="AN8:AO8"/>
    <mergeCell ref="AK9:AL9"/>
    <mergeCell ref="AN9:AO9"/>
    <mergeCell ref="AK10:AL10"/>
    <mergeCell ref="AN10:AO10"/>
    <mergeCell ref="AK11:AL11"/>
    <mergeCell ref="AN11:AO11"/>
    <mergeCell ref="AK12:AL12"/>
    <mergeCell ref="AN12:AO12"/>
    <mergeCell ref="AK13:AL13"/>
    <mergeCell ref="AM13:AO13"/>
    <mergeCell ref="AK14:AL14"/>
    <mergeCell ref="AK199:AL199"/>
    <mergeCell ref="AN199:AO199"/>
    <mergeCell ref="AK200:AL200"/>
    <mergeCell ref="AN200:AO200"/>
    <mergeCell ref="AK201:AL201"/>
    <mergeCell ref="AN201:AO201"/>
    <mergeCell ref="AK202:AL202"/>
    <mergeCell ref="AN202:AO202"/>
    <mergeCell ref="AK19:AL19"/>
    <mergeCell ref="AN19:AO19"/>
    <mergeCell ref="AK20:AL20"/>
    <mergeCell ref="AM20:AO20"/>
    <mergeCell ref="AK21:AL21"/>
    <mergeCell ref="AN21:AO21"/>
    <mergeCell ref="AK22:AL22"/>
    <mergeCell ref="AM22:AO22"/>
    <mergeCell ref="AK23:AL23"/>
    <mergeCell ref="AN23:AO23"/>
    <mergeCell ref="AN14:AO14"/>
    <mergeCell ref="AK15:AL15"/>
    <mergeCell ref="AN15:AO15"/>
    <mergeCell ref="AK16:AL16"/>
    <mergeCell ref="AN16:AO16"/>
    <mergeCell ref="AK17:AL17"/>
    <mergeCell ref="AN17:AO17"/>
    <mergeCell ref="AK18:AL18"/>
    <mergeCell ref="AN18:AO18"/>
    <mergeCell ref="AK29:AL29"/>
    <mergeCell ref="AN29:AO29"/>
    <mergeCell ref="AK30:AL30"/>
    <mergeCell ref="AN30:AO30"/>
    <mergeCell ref="AK31:AL31"/>
    <mergeCell ref="AN31:AO31"/>
    <mergeCell ref="AK32:AL32"/>
    <mergeCell ref="AN32:AO32"/>
    <mergeCell ref="AK33:AL33"/>
    <mergeCell ref="AM33:AO33"/>
    <mergeCell ref="AK24:AL24"/>
    <mergeCell ref="AN24:AO24"/>
    <mergeCell ref="AK25:AL25"/>
    <mergeCell ref="AN25:AO25"/>
    <mergeCell ref="AK26:AL26"/>
    <mergeCell ref="AN26:AO26"/>
    <mergeCell ref="AK27:AL27"/>
    <mergeCell ref="AN27:AO27"/>
    <mergeCell ref="AK28:AL28"/>
    <mergeCell ref="AN28:AO28"/>
    <mergeCell ref="AK41:AL41"/>
    <mergeCell ref="AN41:AO41"/>
    <mergeCell ref="AK42:AL42"/>
    <mergeCell ref="AN42:AO42"/>
    <mergeCell ref="AK43:AL43"/>
    <mergeCell ref="AN43:AO43"/>
    <mergeCell ref="AK44:AL44"/>
    <mergeCell ref="AN44:AO44"/>
    <mergeCell ref="AK45:AL45"/>
    <mergeCell ref="AN45:AO45"/>
    <mergeCell ref="AK34:AO34"/>
    <mergeCell ref="AK37:AL37"/>
    <mergeCell ref="AM37:AO37"/>
    <mergeCell ref="AK38:AL38"/>
    <mergeCell ref="AN38:AO38"/>
    <mergeCell ref="AK39:AL39"/>
    <mergeCell ref="AN39:AO39"/>
    <mergeCell ref="AK40:AL40"/>
    <mergeCell ref="AN40:AO40"/>
    <mergeCell ref="AK51:AL51"/>
    <mergeCell ref="AN51:AO51"/>
    <mergeCell ref="AK52:AL52"/>
    <mergeCell ref="AN52:AO52"/>
    <mergeCell ref="AK53:AL53"/>
    <mergeCell ref="AN53:AO53"/>
    <mergeCell ref="AK54:AL54"/>
    <mergeCell ref="AM54:AO54"/>
    <mergeCell ref="AK55:AL55"/>
    <mergeCell ref="AN55:AO55"/>
    <mergeCell ref="AK46:AL46"/>
    <mergeCell ref="AN46:AO46"/>
    <mergeCell ref="AK47:AL47"/>
    <mergeCell ref="AM47:AO47"/>
    <mergeCell ref="AK48:AL48"/>
    <mergeCell ref="AN48:AO48"/>
    <mergeCell ref="AK49:AL49"/>
    <mergeCell ref="AN49:AO49"/>
    <mergeCell ref="AK50:AL50"/>
    <mergeCell ref="AN50:AO50"/>
    <mergeCell ref="AK61:AL61"/>
    <mergeCell ref="AN61:AO61"/>
    <mergeCell ref="AK62:AL62"/>
    <mergeCell ref="AN62:AO62"/>
    <mergeCell ref="AK63:AL63"/>
    <mergeCell ref="AN63:AO63"/>
    <mergeCell ref="AK64:AL64"/>
    <mergeCell ref="AN64:AO64"/>
    <mergeCell ref="AK65:AL65"/>
    <mergeCell ref="AN65:AO65"/>
    <mergeCell ref="AK56:AL56"/>
    <mergeCell ref="AM56:AO56"/>
    <mergeCell ref="AK57:AL57"/>
    <mergeCell ref="AN57:AO57"/>
    <mergeCell ref="AK58:AL58"/>
    <mergeCell ref="AN58:AO58"/>
    <mergeCell ref="AK59:AL59"/>
    <mergeCell ref="AN59:AO59"/>
    <mergeCell ref="AK60:AL60"/>
    <mergeCell ref="AN60:AO60"/>
    <mergeCell ref="AN83:AO83"/>
    <mergeCell ref="AK66:AL66"/>
    <mergeCell ref="AN66:AO66"/>
    <mergeCell ref="AK67:AL67"/>
    <mergeCell ref="AM67:AO67"/>
    <mergeCell ref="AK68:AO68"/>
    <mergeCell ref="AK71:AL71"/>
    <mergeCell ref="AM71:AO71"/>
    <mergeCell ref="AK72:AL72"/>
    <mergeCell ref="AN72:AO72"/>
    <mergeCell ref="AK81:AL81"/>
    <mergeCell ref="AM81:AO81"/>
    <mergeCell ref="AK76:AL76"/>
    <mergeCell ref="AN76:AO76"/>
    <mergeCell ref="AK77:AL77"/>
    <mergeCell ref="AN77:AO77"/>
    <mergeCell ref="AK78:AL78"/>
    <mergeCell ref="AN78:AO78"/>
    <mergeCell ref="AK79:AL79"/>
    <mergeCell ref="AN79:AO79"/>
    <mergeCell ref="AK80:AL80"/>
    <mergeCell ref="AN80:AO80"/>
    <mergeCell ref="D1:H1"/>
    <mergeCell ref="AK148:AL148"/>
    <mergeCell ref="AN148:AO148"/>
    <mergeCell ref="AK149:AL149"/>
    <mergeCell ref="AK150:AL150"/>
    <mergeCell ref="AK143:AL143"/>
    <mergeCell ref="AN143:AO143"/>
    <mergeCell ref="AK144:AL144"/>
    <mergeCell ref="AN144:AO144"/>
    <mergeCell ref="AK145:AL145"/>
    <mergeCell ref="AN145:AO145"/>
    <mergeCell ref="AK146:AL146"/>
    <mergeCell ref="AN146:AO146"/>
    <mergeCell ref="AK147:AL147"/>
    <mergeCell ref="AN147:AO147"/>
    <mergeCell ref="AK135:AL135"/>
    <mergeCell ref="AK139:AL139"/>
    <mergeCell ref="AM139:AO139"/>
    <mergeCell ref="AK140:AL140"/>
    <mergeCell ref="AN140:AO140"/>
    <mergeCell ref="AK141:AL141"/>
    <mergeCell ref="AN141:AO141"/>
    <mergeCell ref="AK142:AL142"/>
    <mergeCell ref="AK73:AL73"/>
    <mergeCell ref="AN73:AO73"/>
    <mergeCell ref="AK74:AL74"/>
    <mergeCell ref="AN74:AO74"/>
    <mergeCell ref="AK75:AL75"/>
    <mergeCell ref="AN75:AO75"/>
    <mergeCell ref="AK82:AL82"/>
    <mergeCell ref="AN82:AO82"/>
    <mergeCell ref="AK83:AL83"/>
    <mergeCell ref="AN142:AO142"/>
    <mergeCell ref="AN95:AO95"/>
    <mergeCell ref="AK96:AL96"/>
    <mergeCell ref="AN96:AO96"/>
    <mergeCell ref="AK97:AL97"/>
    <mergeCell ref="AN97:AO97"/>
    <mergeCell ref="AK121:AL121"/>
    <mergeCell ref="AN121:AO121"/>
    <mergeCell ref="AK122:AL122"/>
    <mergeCell ref="AN116:AO116"/>
    <mergeCell ref="AK117:AL117"/>
    <mergeCell ref="AN117:AO117"/>
    <mergeCell ref="AK118:AL118"/>
    <mergeCell ref="AN118:AO118"/>
    <mergeCell ref="AK119:AL119"/>
    <mergeCell ref="AN119:AO119"/>
    <mergeCell ref="AK120:AL120"/>
    <mergeCell ref="AN120:AO120"/>
    <mergeCell ref="AK134:AL134"/>
    <mergeCell ref="AN134:AO134"/>
    <mergeCell ref="AM105:AO105"/>
    <mergeCell ref="AN111:AO111"/>
    <mergeCell ref="AK112:AL112"/>
    <mergeCell ref="AN112:AO112"/>
    <mergeCell ref="AK113:AL113"/>
    <mergeCell ref="AN113:AO113"/>
    <mergeCell ref="AK114:AL114"/>
    <mergeCell ref="AN114:AO114"/>
    <mergeCell ref="AK115:AL115"/>
    <mergeCell ref="AM115:AO115"/>
    <mergeCell ref="AK108:AL108"/>
    <mergeCell ref="AN108:AO108"/>
  </mergeCells>
  <printOptions horizontalCentered="1"/>
  <pageMargins left="0.31496062992125984" right="0.31496062992125984" top="0.35433070866141736" bottom="0.35433070866141736" header="0.31496062992125984" footer="0.31496062992125984"/>
  <pageSetup paperSize="8" scale="4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C9E9AC2B-D486-4A70-81FA-BADA8893DFA0}">
            <xm:f>'F0 - Données générales'!$H$5&lt;&gt;"horaire"</xm:f>
            <x14:dxf>
              <fill>
                <patternFill patternType="darkGray">
                  <bgColor theme="0" tint="-0.499984740745262"/>
                </patternFill>
              </fill>
            </x14:dxf>
          </x14:cfRule>
          <xm:sqref>T1:AI1048576</xm:sqref>
        </x14:conditionalFormatting>
        <x14:conditionalFormatting xmlns:xm="http://schemas.microsoft.com/office/excel/2006/main">
          <x14:cfRule type="expression" priority="1" id="{CFDCDE70-F947-49C7-B7E5-DBFB75BBF5D7}">
            <xm:f>'F0 - Données générales'!$H$5&lt;&gt;"journalier"</xm:f>
            <x14:dxf>
              <fill>
                <patternFill patternType="darkGray">
                  <bgColor theme="0" tint="-0.499984740745262"/>
                </patternFill>
              </fill>
            </x14:dxf>
          </x14:cfRule>
          <xm:sqref>AK1:AZ1048576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'F0 - Données générales'!$L$16:$L$41</xm:f>
          </x14:formula1>
          <xm:sqref>D257:D281 D4:D253</xm:sqref>
        </x14:dataValidation>
        <x14:dataValidation type="list" allowBlank="1" showInputMessage="1" showErrorMessage="1" xr:uid="{00000000-0002-0000-0600-000001000000}">
          <x14:formula1>
            <xm:f>'F0 - Données générales'!$K$31:$K$34</xm:f>
          </x14:formula1>
          <xm:sqref>C257:C281 C4:C253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AA55"/>
  <sheetViews>
    <sheetView topLeftCell="A18" zoomScale="85" zoomScaleNormal="85" workbookViewId="0">
      <selection activeCell="D54" sqref="D54"/>
    </sheetView>
  </sheetViews>
  <sheetFormatPr defaultColWidth="11.44140625" defaultRowHeight="14.4" x14ac:dyDescent="0.3"/>
  <cols>
    <col min="1" max="1" width="80.88671875" customWidth="1"/>
    <col min="2" max="7" width="15.6640625" customWidth="1"/>
    <col min="12" max="13" width="16.109375" customWidth="1"/>
  </cols>
  <sheetData>
    <row r="1" spans="1:27" x14ac:dyDescent="0.3">
      <c r="A1" s="1" t="s">
        <v>104</v>
      </c>
      <c r="B1" s="1"/>
      <c r="C1" s="1"/>
      <c r="K1" s="79"/>
    </row>
    <row r="2" spans="1:27" ht="100.8" x14ac:dyDescent="0.3">
      <c r="A2" s="837" t="s">
        <v>308</v>
      </c>
      <c r="B2" s="166" t="s">
        <v>160</v>
      </c>
      <c r="C2" s="166" t="s">
        <v>161</v>
      </c>
      <c r="D2" s="166" t="s">
        <v>162</v>
      </c>
      <c r="E2" s="166" t="s">
        <v>163</v>
      </c>
      <c r="F2" s="840" t="s">
        <v>164</v>
      </c>
      <c r="G2" s="841"/>
      <c r="I2" s="16"/>
      <c r="K2" s="79"/>
    </row>
    <row r="3" spans="1:27" ht="27.75" customHeight="1" x14ac:dyDescent="0.3">
      <c r="A3" s="838"/>
      <c r="B3" s="840" t="s">
        <v>101</v>
      </c>
      <c r="C3" s="842"/>
      <c r="D3" s="842"/>
      <c r="E3" s="841"/>
      <c r="F3" s="840" t="s">
        <v>102</v>
      </c>
      <c r="G3" s="841"/>
      <c r="I3" s="17"/>
      <c r="K3" s="79"/>
      <c r="L3" s="843" t="s">
        <v>199</v>
      </c>
      <c r="M3" s="844"/>
      <c r="N3" s="845"/>
    </row>
    <row r="4" spans="1:27" x14ac:dyDescent="0.3">
      <c r="A4" s="838"/>
      <c r="B4" s="50"/>
      <c r="C4" s="50"/>
      <c r="D4" s="50"/>
      <c r="E4" s="50"/>
      <c r="F4" s="846">
        <f>SUMIF('F3 - Relevé du personnel'!$C$4:$C$281,'F0 - Données générales'!K31,'F3 - Relevé du personnel'!$G$4:$G$281)</f>
        <v>0</v>
      </c>
      <c r="G4" s="847"/>
      <c r="H4" t="s">
        <v>255</v>
      </c>
      <c r="I4" s="16"/>
      <c r="K4" s="79"/>
      <c r="L4" s="684" t="s">
        <v>200</v>
      </c>
      <c r="M4" s="685"/>
      <c r="N4" s="100">
        <f>SUM(B4:E4)</f>
        <v>0</v>
      </c>
    </row>
    <row r="5" spans="1:27" x14ac:dyDescent="0.3">
      <c r="A5" s="839"/>
      <c r="B5" s="52" t="str">
        <f>IF('F3 - Relevé du personnel'!$BG$34=0,"",B4/'F3 - Relevé du personnel'!$BG$34)</f>
        <v/>
      </c>
      <c r="C5" s="52" t="str">
        <f>IF('F3 - Relevé du personnel'!$BG$34=0,"",C4/'F3 - Relevé du personnel'!$BG$34)</f>
        <v/>
      </c>
      <c r="D5" s="52" t="str">
        <f>IF('F3 - Relevé du personnel'!$BG$34=0,"",D4/'F3 - Relevé du personnel'!$BG$34)</f>
        <v/>
      </c>
      <c r="E5" s="52" t="str">
        <f>IF('F3 - Relevé du personnel'!$BG$34=0,"",E4/'F3 - Relevé du personnel'!$BG$34)</f>
        <v/>
      </c>
      <c r="F5" s="848" t="str">
        <f>IF('F3 - Relevé du personnel'!$BG$34=0,"",F4/'F3 - Relevé du personnel'!$BG$34)</f>
        <v/>
      </c>
      <c r="G5" s="849"/>
      <c r="H5" t="s">
        <v>225</v>
      </c>
      <c r="I5" s="16"/>
      <c r="K5" s="79"/>
      <c r="L5" s="684" t="s">
        <v>201</v>
      </c>
      <c r="M5" s="685"/>
      <c r="N5" s="101">
        <f>D54</f>
        <v>1580</v>
      </c>
    </row>
    <row r="6" spans="1:27" x14ac:dyDescent="0.3">
      <c r="A6" s="14" t="s">
        <v>103</v>
      </c>
      <c r="B6" s="14"/>
      <c r="C6" s="14"/>
      <c r="D6" s="15"/>
      <c r="E6" s="15"/>
      <c r="F6" s="15"/>
      <c r="G6" s="15"/>
      <c r="H6" s="15"/>
      <c r="I6" s="15"/>
      <c r="J6" s="15"/>
      <c r="K6" s="79"/>
      <c r="L6" s="684" t="s">
        <v>288</v>
      </c>
      <c r="M6" s="685"/>
      <c r="N6" s="101">
        <f>N4/N5</f>
        <v>0</v>
      </c>
    </row>
    <row r="7" spans="1:27" x14ac:dyDescent="0.3">
      <c r="A7" s="860"/>
      <c r="B7" s="861"/>
      <c r="C7" s="861"/>
      <c r="D7" s="861"/>
      <c r="E7" s="861"/>
      <c r="F7" s="861"/>
      <c r="G7" s="862"/>
      <c r="H7" s="39"/>
      <c r="I7" s="40"/>
      <c r="J7" s="40"/>
      <c r="K7" s="79"/>
      <c r="L7" s="684" t="s">
        <v>202</v>
      </c>
      <c r="M7" s="685"/>
      <c r="N7" s="38">
        <f>IF('F3 - Relevé du personnel'!BH34=0,0,N6/'F3 - Relevé du personnel'!BH34)</f>
        <v>0</v>
      </c>
    </row>
    <row r="8" spans="1:27" x14ac:dyDescent="0.3">
      <c r="A8" s="863"/>
      <c r="B8" s="864"/>
      <c r="C8" s="864"/>
      <c r="D8" s="864"/>
      <c r="E8" s="864"/>
      <c r="F8" s="864"/>
      <c r="G8" s="865"/>
      <c r="H8" s="39"/>
      <c r="I8" s="40"/>
      <c r="J8" s="40"/>
      <c r="K8" s="79"/>
      <c r="L8" s="684" t="s">
        <v>203</v>
      </c>
      <c r="M8" s="685"/>
      <c r="N8" s="38">
        <f>IF('F3 - Relevé du personnel'!BH34=0,0,1-N7)</f>
        <v>0</v>
      </c>
    </row>
    <row r="9" spans="1:27" ht="15" customHeight="1" x14ac:dyDescent="0.3">
      <c r="A9" s="837" t="s">
        <v>309</v>
      </c>
      <c r="B9" s="837" t="s">
        <v>312</v>
      </c>
      <c r="E9" s="16"/>
      <c r="F9" s="16"/>
      <c r="G9" s="16"/>
      <c r="H9" s="16"/>
      <c r="I9" s="16"/>
      <c r="J9" s="16"/>
      <c r="K9" s="79"/>
      <c r="L9" s="684" t="s">
        <v>204</v>
      </c>
      <c r="M9" s="685"/>
      <c r="N9" s="2">
        <v>34</v>
      </c>
    </row>
    <row r="10" spans="1:27" x14ac:dyDescent="0.3">
      <c r="A10" s="838"/>
      <c r="B10" s="839"/>
      <c r="E10" s="16"/>
      <c r="F10" s="16"/>
      <c r="G10" s="16"/>
      <c r="H10" s="16"/>
      <c r="I10" s="16"/>
      <c r="J10" s="16"/>
      <c r="K10" s="79"/>
      <c r="L10" s="684" t="s">
        <v>205</v>
      </c>
      <c r="M10" s="685"/>
      <c r="N10" s="2">
        <v>68</v>
      </c>
    </row>
    <row r="11" spans="1:27" x14ac:dyDescent="0.3">
      <c r="A11" s="838"/>
      <c r="B11" s="51"/>
      <c r="C11" t="s">
        <v>255</v>
      </c>
      <c r="E11" s="15"/>
      <c r="F11" s="15"/>
      <c r="G11" s="15"/>
      <c r="H11" s="15"/>
      <c r="I11" s="15"/>
      <c r="J11" s="15"/>
      <c r="K11" s="79"/>
      <c r="L11" s="870" t="s">
        <v>206</v>
      </c>
      <c r="M11" s="871"/>
      <c r="N11" s="103">
        <f>IF('F3 - Relevé du personnel'!BH34=0,0,N7*N10+N8*N9-33)</f>
        <v>0</v>
      </c>
    </row>
    <row r="12" spans="1:27" x14ac:dyDescent="0.3">
      <c r="A12" s="839"/>
      <c r="B12" s="52" t="str">
        <f>IF('F3 - Relevé du personnel'!$BG$34=0,"",B11/'F3 - Relevé du personnel'!$BG$34)</f>
        <v/>
      </c>
      <c r="C12" t="s">
        <v>225</v>
      </c>
      <c r="E12" s="15"/>
      <c r="F12" s="15"/>
      <c r="G12" s="15"/>
      <c r="H12" s="15"/>
      <c r="I12" s="15"/>
      <c r="J12" s="15"/>
      <c r="K12" s="79"/>
    </row>
    <row r="13" spans="1:27" ht="15" customHeight="1" x14ac:dyDescent="0.4">
      <c r="A13" s="880" t="s">
        <v>310</v>
      </c>
      <c r="B13" s="837" t="s">
        <v>311</v>
      </c>
      <c r="E13" s="16"/>
      <c r="F13" s="17"/>
      <c r="G13" s="17"/>
      <c r="H13" s="15"/>
      <c r="I13" s="15"/>
      <c r="J13" s="15"/>
      <c r="K13" s="79"/>
      <c r="L13" s="843" t="s">
        <v>207</v>
      </c>
      <c r="M13" s="844"/>
      <c r="N13" s="844"/>
      <c r="O13" s="844"/>
      <c r="P13" s="844"/>
      <c r="Q13" s="844"/>
      <c r="R13" s="845"/>
      <c r="T13" s="65" t="s">
        <v>134</v>
      </c>
      <c r="U13" s="65"/>
    </row>
    <row r="14" spans="1:27" x14ac:dyDescent="0.3">
      <c r="A14" s="881"/>
      <c r="B14" s="839"/>
      <c r="E14" s="16"/>
      <c r="F14" s="17"/>
      <c r="G14" s="17"/>
      <c r="H14" s="15"/>
      <c r="I14" s="15"/>
      <c r="J14" s="15"/>
      <c r="K14" s="79"/>
      <c r="L14" s="684" t="s">
        <v>208</v>
      </c>
      <c r="M14" s="856"/>
      <c r="N14" s="685"/>
      <c r="O14" s="857">
        <f>B15*Y14</f>
        <v>0</v>
      </c>
      <c r="P14" s="858"/>
      <c r="Q14" s="858"/>
      <c r="R14" s="859"/>
      <c r="T14" s="684" t="s">
        <v>219</v>
      </c>
      <c r="U14" s="856"/>
      <c r="V14" s="856"/>
      <c r="W14" s="856"/>
      <c r="X14" s="685"/>
      <c r="Y14" s="872">
        <v>0.9</v>
      </c>
      <c r="Z14" s="873"/>
      <c r="AA14" s="874"/>
    </row>
    <row r="15" spans="1:27" x14ac:dyDescent="0.3">
      <c r="A15" s="881"/>
      <c r="B15" s="51"/>
      <c r="C15" t="s">
        <v>264</v>
      </c>
      <c r="E15" s="15"/>
      <c r="F15" s="15"/>
      <c r="G15" s="15"/>
      <c r="H15" s="15"/>
      <c r="I15" s="15"/>
      <c r="J15" s="15"/>
      <c r="K15" s="79"/>
      <c r="L15" s="684" t="s">
        <v>209</v>
      </c>
      <c r="M15" s="856"/>
      <c r="N15" s="685"/>
      <c r="O15" s="857">
        <f>O14*(1-Y15)</f>
        <v>0</v>
      </c>
      <c r="P15" s="858"/>
      <c r="Q15" s="858"/>
      <c r="R15" s="859"/>
      <c r="T15" s="850" t="s">
        <v>220</v>
      </c>
      <c r="U15" s="851"/>
      <c r="V15" s="851"/>
      <c r="W15" s="851"/>
      <c r="X15" s="852"/>
      <c r="Y15" s="875">
        <v>0.51</v>
      </c>
      <c r="Z15" s="125" t="s">
        <v>212</v>
      </c>
      <c r="AA15" s="38">
        <v>0.4</v>
      </c>
    </row>
    <row r="16" spans="1:27" x14ac:dyDescent="0.3">
      <c r="A16" s="882"/>
      <c r="B16" s="52" t="str">
        <f>IF('F3 - Relevé du personnel'!$BG$34=0,"",B15/'F3 - Relevé du personnel'!$BG$34)</f>
        <v/>
      </c>
      <c r="C16" t="s">
        <v>265</v>
      </c>
      <c r="E16" s="15"/>
      <c r="F16" s="15"/>
      <c r="G16" s="15"/>
      <c r="H16" s="15"/>
      <c r="I16" s="15"/>
      <c r="J16" s="15"/>
      <c r="K16" s="79"/>
      <c r="L16" s="850" t="s">
        <v>210</v>
      </c>
      <c r="M16" s="851"/>
      <c r="N16" s="852"/>
      <c r="O16" s="866">
        <f>O14*Y15</f>
        <v>0</v>
      </c>
      <c r="P16" s="684" t="s">
        <v>211</v>
      </c>
      <c r="Q16" s="685"/>
      <c r="R16" s="137">
        <f>O16*AA16</f>
        <v>0</v>
      </c>
      <c r="T16" s="853"/>
      <c r="U16" s="854"/>
      <c r="V16" s="854"/>
      <c r="W16" s="854"/>
      <c r="X16" s="855"/>
      <c r="Y16" s="876"/>
      <c r="Z16" s="125" t="s">
        <v>211</v>
      </c>
      <c r="AA16" s="38">
        <v>0.6</v>
      </c>
    </row>
    <row r="17" spans="1:27" x14ac:dyDescent="0.3">
      <c r="K17" s="79"/>
      <c r="L17" s="853"/>
      <c r="M17" s="854"/>
      <c r="N17" s="855"/>
      <c r="O17" s="867"/>
      <c r="P17" s="684" t="s">
        <v>212</v>
      </c>
      <c r="Q17" s="685"/>
      <c r="R17" s="137">
        <f>O16*AA15</f>
        <v>0</v>
      </c>
      <c r="T17" s="684" t="s">
        <v>213</v>
      </c>
      <c r="U17" s="856"/>
      <c r="V17" s="856"/>
      <c r="W17" s="685"/>
      <c r="X17" s="102">
        <v>0.45</v>
      </c>
      <c r="Y17" s="868" t="s">
        <v>214</v>
      </c>
      <c r="Z17" s="869"/>
      <c r="AA17" s="2">
        <v>122</v>
      </c>
    </row>
    <row r="18" spans="1:27" x14ac:dyDescent="0.3">
      <c r="K18" s="79"/>
      <c r="L18" s="684" t="s">
        <v>222</v>
      </c>
      <c r="M18" s="856"/>
      <c r="N18" s="856"/>
      <c r="O18" s="856"/>
      <c r="P18" s="856"/>
      <c r="Q18" s="685"/>
      <c r="R18" s="101">
        <f>(O15*X17*AA17*0.25+O15*X18*AA18+O15*X19*AA19)*AA20</f>
        <v>0</v>
      </c>
      <c r="T18" s="684" t="s">
        <v>215</v>
      </c>
      <c r="U18" s="856"/>
      <c r="V18" s="856"/>
      <c r="W18" s="685"/>
      <c r="X18" s="102">
        <v>0.41</v>
      </c>
      <c r="Y18" s="868" t="s">
        <v>216</v>
      </c>
      <c r="Z18" s="869"/>
      <c r="AA18" s="2">
        <v>61</v>
      </c>
    </row>
    <row r="19" spans="1:27" x14ac:dyDescent="0.3">
      <c r="K19" s="79"/>
      <c r="L19" s="684" t="s">
        <v>223</v>
      </c>
      <c r="M19" s="856"/>
      <c r="N19" s="856"/>
      <c r="O19" s="856"/>
      <c r="P19" s="856"/>
      <c r="Q19" s="685"/>
      <c r="R19" s="101">
        <f>(R16*X17*AA17*0+R16*X18*AA18*0+R16*X19*AA19*0.5)*AA20</f>
        <v>0</v>
      </c>
      <c r="T19" s="684" t="s">
        <v>217</v>
      </c>
      <c r="U19" s="856"/>
      <c r="V19" s="856"/>
      <c r="W19" s="685"/>
      <c r="X19" s="102">
        <v>0.12</v>
      </c>
      <c r="Y19" s="868" t="s">
        <v>218</v>
      </c>
      <c r="Z19" s="869"/>
      <c r="AA19" s="2">
        <v>182</v>
      </c>
    </row>
    <row r="20" spans="1:27" x14ac:dyDescent="0.3">
      <c r="K20" s="79"/>
      <c r="L20" s="684" t="s">
        <v>297</v>
      </c>
      <c r="M20" s="856"/>
      <c r="N20" s="856"/>
      <c r="O20" s="856"/>
      <c r="P20" s="856"/>
      <c r="Q20" s="685"/>
      <c r="R20" s="101">
        <f>(R17*X17*AA17*0.25+R17*X18*AA18+R17*X19*AA19)*AA20*0.5</f>
        <v>0</v>
      </c>
      <c r="T20" s="684" t="s">
        <v>221</v>
      </c>
      <c r="U20" s="856"/>
      <c r="V20" s="856"/>
      <c r="W20" s="856"/>
      <c r="X20" s="856"/>
      <c r="Y20" s="856"/>
      <c r="Z20" s="685"/>
      <c r="AA20" s="72">
        <v>1.5</v>
      </c>
    </row>
    <row r="21" spans="1:27" x14ac:dyDescent="0.3">
      <c r="K21" s="79"/>
      <c r="L21" s="684" t="s">
        <v>224</v>
      </c>
      <c r="M21" s="856"/>
      <c r="N21" s="856"/>
      <c r="O21" s="856"/>
      <c r="P21" s="856"/>
      <c r="Q21" s="685"/>
      <c r="R21" s="101">
        <f>SUM(R18:R20)</f>
        <v>0</v>
      </c>
    </row>
    <row r="22" spans="1:27" x14ac:dyDescent="0.3">
      <c r="K22" s="79"/>
      <c r="L22" s="870" t="s">
        <v>225</v>
      </c>
      <c r="M22" s="879"/>
      <c r="N22" s="879"/>
      <c r="O22" s="879"/>
      <c r="P22" s="879"/>
      <c r="Q22" s="871"/>
      <c r="R22" s="103">
        <f>IF('F3 - Relevé du personnel'!BH34=0,0,R21/'F3 - Relevé du personnel'!BH34)</f>
        <v>0</v>
      </c>
    </row>
    <row r="23" spans="1:27" x14ac:dyDescent="0.3">
      <c r="K23" s="79"/>
    </row>
    <row r="24" spans="1:27" x14ac:dyDescent="0.3">
      <c r="K24" s="79"/>
    </row>
    <row r="25" spans="1:27" ht="21" x14ac:dyDescent="0.4">
      <c r="A25" s="883" t="s">
        <v>136</v>
      </c>
      <c r="B25" s="883"/>
      <c r="C25" s="883"/>
      <c r="D25" s="883"/>
      <c r="E25" s="883"/>
      <c r="F25" s="883"/>
      <c r="K25" s="79"/>
    </row>
    <row r="26" spans="1:27" ht="15.6" x14ac:dyDescent="0.3">
      <c r="A26" s="260" t="s">
        <v>137</v>
      </c>
      <c r="B26" s="884" t="s">
        <v>226</v>
      </c>
      <c r="C26" s="884"/>
      <c r="D26" s="884"/>
      <c r="E26" s="885" t="s">
        <v>227</v>
      </c>
      <c r="F26" s="885"/>
      <c r="K26" s="79"/>
    </row>
    <row r="27" spans="1:27" ht="15.6" x14ac:dyDescent="0.3">
      <c r="A27" s="260"/>
      <c r="B27" s="261" t="s">
        <v>138</v>
      </c>
      <c r="C27" s="261" t="s">
        <v>139</v>
      </c>
      <c r="D27" s="261" t="s">
        <v>125</v>
      </c>
      <c r="E27" s="261" t="s">
        <v>139</v>
      </c>
      <c r="F27" s="261" t="s">
        <v>125</v>
      </c>
      <c r="K27" s="79"/>
    </row>
    <row r="28" spans="1:27" ht="15.6" x14ac:dyDescent="0.3">
      <c r="A28" s="262" t="s">
        <v>140</v>
      </c>
      <c r="B28" s="263">
        <v>365</v>
      </c>
      <c r="C28" s="263">
        <v>8</v>
      </c>
      <c r="D28" s="263">
        <f>B28*C28</f>
        <v>2920</v>
      </c>
      <c r="E28" s="263"/>
      <c r="F28" s="263">
        <f>D28</f>
        <v>2920</v>
      </c>
      <c r="K28" s="79"/>
    </row>
    <row r="29" spans="1:27" x14ac:dyDescent="0.3">
      <c r="A29" s="264" t="s">
        <v>141</v>
      </c>
      <c r="B29" s="265">
        <v>105</v>
      </c>
      <c r="C29" s="265">
        <f>B29*C28</f>
        <v>840</v>
      </c>
      <c r="D29" s="265">
        <f>D28-C29</f>
        <v>2080</v>
      </c>
      <c r="E29" s="265"/>
      <c r="F29" s="265">
        <f t="shared" ref="F29:F35" si="0">D29</f>
        <v>2080</v>
      </c>
      <c r="K29" s="79"/>
    </row>
    <row r="30" spans="1:27" x14ac:dyDescent="0.3">
      <c r="A30" s="266" t="s">
        <v>142</v>
      </c>
      <c r="B30" s="265">
        <v>11</v>
      </c>
      <c r="C30" s="265">
        <f>B30*C28</f>
        <v>88</v>
      </c>
      <c r="D30" s="265">
        <f>D29-C30</f>
        <v>1992</v>
      </c>
      <c r="E30" s="265"/>
      <c r="F30" s="265">
        <f t="shared" si="0"/>
        <v>1992</v>
      </c>
      <c r="K30" s="79"/>
    </row>
    <row r="31" spans="1:27" x14ac:dyDescent="0.3">
      <c r="A31" s="264" t="s">
        <v>301</v>
      </c>
      <c r="B31" s="265">
        <v>34</v>
      </c>
      <c r="C31" s="265">
        <f>B31*C28</f>
        <v>272</v>
      </c>
      <c r="D31" s="265">
        <f>D30-C31</f>
        <v>1720</v>
      </c>
      <c r="E31" s="265"/>
      <c r="F31" s="265">
        <f t="shared" si="0"/>
        <v>1720</v>
      </c>
      <c r="K31" s="79"/>
    </row>
    <row r="32" spans="1:27" ht="15.6" x14ac:dyDescent="0.3">
      <c r="A32" s="262" t="s">
        <v>143</v>
      </c>
      <c r="B32" s="263"/>
      <c r="C32" s="263"/>
      <c r="D32" s="263">
        <f>D28-C29-C30-C31</f>
        <v>1720</v>
      </c>
      <c r="E32" s="263"/>
      <c r="F32" s="263">
        <f t="shared" si="0"/>
        <v>1720</v>
      </c>
      <c r="K32" s="79"/>
    </row>
    <row r="33" spans="1:11" x14ac:dyDescent="0.3">
      <c r="A33" s="264" t="s">
        <v>144</v>
      </c>
      <c r="B33" s="265"/>
      <c r="C33" s="265">
        <v>1</v>
      </c>
      <c r="D33" s="265">
        <f>D32-C33</f>
        <v>1719</v>
      </c>
      <c r="E33" s="265"/>
      <c r="F33" s="265">
        <f t="shared" si="0"/>
        <v>1719</v>
      </c>
      <c r="H33" s="877" t="s">
        <v>263</v>
      </c>
      <c r="I33" s="877"/>
      <c r="J33" s="877"/>
      <c r="K33" s="79"/>
    </row>
    <row r="34" spans="1:11" x14ac:dyDescent="0.3">
      <c r="A34" s="264" t="s">
        <v>145</v>
      </c>
      <c r="B34" s="265"/>
      <c r="C34" s="265">
        <v>2</v>
      </c>
      <c r="D34" s="265">
        <f t="shared" ref="D34:D50" si="1">D33-C34</f>
        <v>1717</v>
      </c>
      <c r="E34" s="265"/>
      <c r="F34" s="265">
        <f t="shared" si="0"/>
        <v>1717</v>
      </c>
      <c r="H34" s="877"/>
      <c r="I34" s="877"/>
      <c r="J34" s="877"/>
      <c r="K34" s="79"/>
    </row>
    <row r="35" spans="1:11" x14ac:dyDescent="0.3">
      <c r="A35" s="264" t="s">
        <v>146</v>
      </c>
      <c r="B35" s="265"/>
      <c r="C35" s="265">
        <v>6</v>
      </c>
      <c r="D35" s="265">
        <f t="shared" si="1"/>
        <v>1711</v>
      </c>
      <c r="E35" s="265"/>
      <c r="F35" s="265">
        <f t="shared" si="0"/>
        <v>1711</v>
      </c>
      <c r="H35" s="877"/>
      <c r="I35" s="877"/>
      <c r="J35" s="877"/>
      <c r="K35" s="79"/>
    </row>
    <row r="36" spans="1:11" x14ac:dyDescent="0.3">
      <c r="A36" s="264" t="s">
        <v>147</v>
      </c>
      <c r="B36" s="265"/>
      <c r="C36" s="265">
        <v>1.97</v>
      </c>
      <c r="D36" s="265">
        <f t="shared" si="1"/>
        <v>1709.03</v>
      </c>
      <c r="E36" s="267">
        <f>N11</f>
        <v>0</v>
      </c>
      <c r="F36" s="265">
        <f>F35-E36</f>
        <v>1711</v>
      </c>
      <c r="K36" s="79"/>
    </row>
    <row r="37" spans="1:11" x14ac:dyDescent="0.3">
      <c r="A37" s="264" t="s">
        <v>148</v>
      </c>
      <c r="B37" s="265"/>
      <c r="C37" s="265">
        <v>1.68</v>
      </c>
      <c r="D37" s="265">
        <f t="shared" si="1"/>
        <v>1707.35</v>
      </c>
      <c r="E37" s="267">
        <f>R22</f>
        <v>0</v>
      </c>
      <c r="F37" s="265">
        <f>F36-E37</f>
        <v>1711</v>
      </c>
      <c r="K37" s="79"/>
    </row>
    <row r="38" spans="1:11" x14ac:dyDescent="0.3">
      <c r="A38" s="264" t="s">
        <v>381</v>
      </c>
      <c r="B38" s="278"/>
      <c r="C38" s="278">
        <v>1.43</v>
      </c>
      <c r="D38" s="265">
        <f t="shared" si="1"/>
        <v>1705.9199999999998</v>
      </c>
      <c r="E38" s="265"/>
      <c r="F38" s="265">
        <f>F37-E38-C38</f>
        <v>1709.57</v>
      </c>
      <c r="K38" s="79"/>
    </row>
    <row r="39" spans="1:11" x14ac:dyDescent="0.3">
      <c r="A39" s="332" t="s">
        <v>445</v>
      </c>
      <c r="B39" s="278"/>
      <c r="C39" s="278">
        <v>0</v>
      </c>
      <c r="D39" s="265">
        <f t="shared" si="1"/>
        <v>1705.9199999999998</v>
      </c>
      <c r="E39" s="265"/>
      <c r="F39" s="265">
        <f t="shared" ref="F39:F50" si="2">F38-E39-C39</f>
        <v>1709.57</v>
      </c>
      <c r="K39" s="79"/>
    </row>
    <row r="40" spans="1:11" x14ac:dyDescent="0.3">
      <c r="A40" s="332" t="s">
        <v>446</v>
      </c>
      <c r="B40" s="278"/>
      <c r="C40" s="278">
        <v>4.9000000000000004</v>
      </c>
      <c r="D40" s="265">
        <f t="shared" si="1"/>
        <v>1701.0199999999998</v>
      </c>
      <c r="E40" s="265"/>
      <c r="F40" s="265">
        <f t="shared" si="2"/>
        <v>1704.6699999999998</v>
      </c>
      <c r="K40" s="79"/>
    </row>
    <row r="41" spans="1:11" x14ac:dyDescent="0.3">
      <c r="A41" s="332" t="s">
        <v>447</v>
      </c>
      <c r="B41" s="278"/>
      <c r="C41" s="278">
        <v>8.4</v>
      </c>
      <c r="D41" s="265">
        <f t="shared" si="1"/>
        <v>1692.6199999999997</v>
      </c>
      <c r="E41" s="265"/>
      <c r="F41" s="265">
        <f t="shared" si="2"/>
        <v>1696.2699999999998</v>
      </c>
      <c r="K41" s="79"/>
    </row>
    <row r="42" spans="1:11" x14ac:dyDescent="0.3">
      <c r="A42" s="332" t="s">
        <v>448</v>
      </c>
      <c r="B42" s="278"/>
      <c r="C42" s="278">
        <v>3.2</v>
      </c>
      <c r="D42" s="265">
        <f t="shared" si="1"/>
        <v>1689.4199999999996</v>
      </c>
      <c r="E42" s="265"/>
      <c r="F42" s="265">
        <f>F41-E42-C42</f>
        <v>1693.0699999999997</v>
      </c>
      <c r="K42" s="79"/>
    </row>
    <row r="43" spans="1:11" x14ac:dyDescent="0.3">
      <c r="A43" s="2" t="s">
        <v>149</v>
      </c>
      <c r="B43" s="265"/>
      <c r="C43" s="265">
        <v>85.55</v>
      </c>
      <c r="D43" s="265">
        <f>D42-C43</f>
        <v>1603.8699999999997</v>
      </c>
      <c r="E43" s="267">
        <f>IF(F5="",0,F5)</f>
        <v>0</v>
      </c>
      <c r="F43" s="265">
        <f>F42-E43</f>
        <v>1693.0699999999997</v>
      </c>
      <c r="K43" s="79"/>
    </row>
    <row r="44" spans="1:11" ht="28.8" x14ac:dyDescent="0.3">
      <c r="A44" s="268" t="s">
        <v>150</v>
      </c>
      <c r="B44" s="265"/>
      <c r="C44" s="265"/>
      <c r="D44" s="265">
        <f t="shared" si="1"/>
        <v>1603.8699999999997</v>
      </c>
      <c r="E44" s="265"/>
      <c r="F44" s="265">
        <f>F43-E44-C44</f>
        <v>1693.0699999999997</v>
      </c>
      <c r="K44" s="79"/>
    </row>
    <row r="45" spans="1:11" x14ac:dyDescent="0.3">
      <c r="A45" s="264" t="s">
        <v>151</v>
      </c>
      <c r="B45" s="265"/>
      <c r="C45" s="265"/>
      <c r="D45" s="265">
        <f t="shared" si="1"/>
        <v>1603.8699999999997</v>
      </c>
      <c r="E45" s="265"/>
      <c r="F45" s="265">
        <f t="shared" si="2"/>
        <v>1693.0699999999997</v>
      </c>
      <c r="K45" s="79"/>
    </row>
    <row r="46" spans="1:11" x14ac:dyDescent="0.3">
      <c r="A46" s="264" t="s">
        <v>152</v>
      </c>
      <c r="B46" s="265"/>
      <c r="C46" s="265"/>
      <c r="D46" s="265">
        <f t="shared" si="1"/>
        <v>1603.8699999999997</v>
      </c>
      <c r="E46" s="265"/>
      <c r="F46" s="265">
        <f t="shared" si="2"/>
        <v>1693.0699999999997</v>
      </c>
      <c r="K46" s="79"/>
    </row>
    <row r="47" spans="1:11" x14ac:dyDescent="0.3">
      <c r="A47" s="264" t="s">
        <v>153</v>
      </c>
      <c r="B47" s="265"/>
      <c r="C47" s="265"/>
      <c r="D47" s="265">
        <f t="shared" si="1"/>
        <v>1603.8699999999997</v>
      </c>
      <c r="E47" s="265"/>
      <c r="F47" s="265">
        <f t="shared" si="2"/>
        <v>1693.0699999999997</v>
      </c>
      <c r="K47" s="79"/>
    </row>
    <row r="48" spans="1:11" x14ac:dyDescent="0.3">
      <c r="A48" s="264" t="s">
        <v>154</v>
      </c>
      <c r="B48" s="265"/>
      <c r="C48" s="265"/>
      <c r="D48" s="265">
        <f t="shared" si="1"/>
        <v>1603.8699999999997</v>
      </c>
      <c r="E48" s="265"/>
      <c r="F48" s="265">
        <f t="shared" si="2"/>
        <v>1693.0699999999997</v>
      </c>
      <c r="K48" s="79"/>
    </row>
    <row r="49" spans="1:11" x14ac:dyDescent="0.3">
      <c r="A49" s="264" t="s">
        <v>155</v>
      </c>
      <c r="B49" s="265"/>
      <c r="C49" s="265"/>
      <c r="D49" s="265">
        <f t="shared" si="1"/>
        <v>1603.8699999999997</v>
      </c>
      <c r="E49" s="265"/>
      <c r="F49" s="265">
        <f t="shared" si="2"/>
        <v>1693.0699999999997</v>
      </c>
      <c r="K49" s="79"/>
    </row>
    <row r="50" spans="1:11" x14ac:dyDescent="0.3">
      <c r="A50" s="264" t="s">
        <v>156</v>
      </c>
      <c r="B50" s="265"/>
      <c r="C50" s="265"/>
      <c r="D50" s="265">
        <f t="shared" si="1"/>
        <v>1603.8699999999997</v>
      </c>
      <c r="E50" s="265"/>
      <c r="F50" s="265">
        <f t="shared" si="2"/>
        <v>1693.0699999999997</v>
      </c>
      <c r="K50" s="79"/>
    </row>
    <row r="51" spans="1:11" ht="15.6" x14ac:dyDescent="0.3">
      <c r="A51" s="262" t="s">
        <v>143</v>
      </c>
      <c r="B51" s="263"/>
      <c r="C51" s="263"/>
      <c r="D51" s="263">
        <f>D50-C51</f>
        <v>1603.8699999999997</v>
      </c>
      <c r="E51" s="263"/>
      <c r="F51" s="263">
        <f>F43</f>
        <v>1693.0699999999997</v>
      </c>
      <c r="K51" s="79"/>
    </row>
    <row r="52" spans="1:11" x14ac:dyDescent="0.3">
      <c r="A52" s="264" t="s">
        <v>157</v>
      </c>
      <c r="B52" s="265"/>
      <c r="C52" s="265">
        <v>24</v>
      </c>
      <c r="D52" s="265">
        <f>D51-C52</f>
        <v>1579.8699999999997</v>
      </c>
      <c r="E52" s="267">
        <f>IF(B12="",0,B12)</f>
        <v>0</v>
      </c>
      <c r="F52" s="265">
        <f>F51-E52</f>
        <v>1693.0699999999997</v>
      </c>
      <c r="K52" s="79"/>
    </row>
    <row r="53" spans="1:11" x14ac:dyDescent="0.3">
      <c r="A53" s="264" t="s">
        <v>158</v>
      </c>
      <c r="B53" s="265"/>
      <c r="C53" s="265"/>
      <c r="D53" s="265">
        <f>D52-C53</f>
        <v>1579.8699999999997</v>
      </c>
      <c r="E53" s="265"/>
      <c r="F53" s="265"/>
      <c r="K53" s="79"/>
    </row>
    <row r="54" spans="1:11" ht="15.6" x14ac:dyDescent="0.3">
      <c r="A54" s="269" t="s">
        <v>57</v>
      </c>
      <c r="B54" s="263"/>
      <c r="C54" s="263"/>
      <c r="D54" s="279">
        <f>ROUND(D53,0)</f>
        <v>1580</v>
      </c>
      <c r="E54" s="263"/>
      <c r="F54" s="263">
        <f>F52</f>
        <v>1693.0699999999997</v>
      </c>
      <c r="K54" s="79"/>
    </row>
    <row r="55" spans="1:11" ht="30" customHeight="1" x14ac:dyDescent="0.3">
      <c r="A55" s="878" t="s">
        <v>159</v>
      </c>
      <c r="B55" s="878"/>
      <c r="C55" s="878"/>
      <c r="D55" s="878"/>
      <c r="E55" s="878"/>
      <c r="F55" s="878"/>
      <c r="K55" s="79"/>
    </row>
  </sheetData>
  <mergeCells count="50">
    <mergeCell ref="H33:J35"/>
    <mergeCell ref="A55:F55"/>
    <mergeCell ref="L22:Q22"/>
    <mergeCell ref="A13:A16"/>
    <mergeCell ref="B13:B14"/>
    <mergeCell ref="A25:F25"/>
    <mergeCell ref="B26:D26"/>
    <mergeCell ref="E26:F26"/>
    <mergeCell ref="L21:Q21"/>
    <mergeCell ref="Y19:Z19"/>
    <mergeCell ref="L10:M10"/>
    <mergeCell ref="L20:Q20"/>
    <mergeCell ref="T20:Z20"/>
    <mergeCell ref="L11:M11"/>
    <mergeCell ref="Y17:Z17"/>
    <mergeCell ref="L19:Q19"/>
    <mergeCell ref="T19:W19"/>
    <mergeCell ref="L18:Q18"/>
    <mergeCell ref="T18:W18"/>
    <mergeCell ref="Y18:Z18"/>
    <mergeCell ref="Y14:AA14"/>
    <mergeCell ref="Y15:Y16"/>
    <mergeCell ref="A7:G8"/>
    <mergeCell ref="L7:M7"/>
    <mergeCell ref="P17:Q17"/>
    <mergeCell ref="T17:W17"/>
    <mergeCell ref="T14:X14"/>
    <mergeCell ref="A9:A12"/>
    <mergeCell ref="B9:B10"/>
    <mergeCell ref="L9:M9"/>
    <mergeCell ref="O16:O17"/>
    <mergeCell ref="P16:Q16"/>
    <mergeCell ref="L15:N15"/>
    <mergeCell ref="O15:R15"/>
    <mergeCell ref="T15:X16"/>
    <mergeCell ref="L6:M6"/>
    <mergeCell ref="L16:N17"/>
    <mergeCell ref="L13:R13"/>
    <mergeCell ref="L14:N14"/>
    <mergeCell ref="O14:R14"/>
    <mergeCell ref="L8:M8"/>
    <mergeCell ref="A2:A5"/>
    <mergeCell ref="F2:G2"/>
    <mergeCell ref="B3:E3"/>
    <mergeCell ref="F3:G3"/>
    <mergeCell ref="L3:N3"/>
    <mergeCell ref="F4:G4"/>
    <mergeCell ref="L4:M4"/>
    <mergeCell ref="F5:G5"/>
    <mergeCell ref="L5:M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A1:V20"/>
  <sheetViews>
    <sheetView zoomScale="85" zoomScaleNormal="85" workbookViewId="0">
      <selection sqref="A1:XFD1048576"/>
    </sheetView>
  </sheetViews>
  <sheetFormatPr defaultColWidth="11.44140625" defaultRowHeight="14.4" x14ac:dyDescent="0.3"/>
  <cols>
    <col min="3" max="5" width="19.109375" customWidth="1"/>
    <col min="6" max="11" width="16.44140625" customWidth="1"/>
  </cols>
  <sheetData>
    <row r="1" spans="1:22" x14ac:dyDescent="0.3">
      <c r="A1" s="1" t="s">
        <v>172</v>
      </c>
      <c r="M1" s="79"/>
    </row>
    <row r="2" spans="1:22" ht="18" x14ac:dyDescent="0.3">
      <c r="A2" s="886" t="s">
        <v>105</v>
      </c>
      <c r="B2" s="886"/>
      <c r="C2" s="886"/>
      <c r="D2" s="886"/>
      <c r="E2" s="886"/>
      <c r="F2" s="886"/>
      <c r="G2" s="886"/>
      <c r="H2" s="886"/>
      <c r="I2" s="886"/>
      <c r="J2" s="886"/>
      <c r="K2" s="886"/>
      <c r="M2" s="79"/>
      <c r="N2" s="887" t="s">
        <v>105</v>
      </c>
      <c r="O2" s="887"/>
      <c r="P2" s="887"/>
      <c r="Q2" s="887"/>
      <c r="R2" s="887"/>
      <c r="S2" s="887"/>
      <c r="T2" s="887"/>
      <c r="U2" s="887"/>
      <c r="V2" s="887"/>
    </row>
    <row r="3" spans="1:22" ht="57.6" x14ac:dyDescent="0.3">
      <c r="A3" s="888" t="s">
        <v>106</v>
      </c>
      <c r="B3" s="889"/>
      <c r="C3" s="889"/>
      <c r="D3" s="889"/>
      <c r="E3" s="890"/>
      <c r="F3" s="69" t="s">
        <v>749</v>
      </c>
      <c r="G3" s="70" t="s">
        <v>750</v>
      </c>
      <c r="H3" s="70" t="s">
        <v>107</v>
      </c>
      <c r="I3" s="70" t="s">
        <v>751</v>
      </c>
      <c r="J3" s="70" t="s">
        <v>108</v>
      </c>
      <c r="K3" s="70" t="s">
        <v>109</v>
      </c>
      <c r="M3" s="79"/>
      <c r="N3" s="891" t="s">
        <v>106</v>
      </c>
      <c r="O3" s="891"/>
      <c r="P3" s="891"/>
      <c r="Q3" s="891"/>
      <c r="R3" s="891"/>
      <c r="S3" s="891"/>
      <c r="T3" s="891"/>
      <c r="U3" s="892" t="s">
        <v>251</v>
      </c>
      <c r="V3" s="892"/>
    </row>
    <row r="4" spans="1:22" x14ac:dyDescent="0.3">
      <c r="A4" s="893" t="s">
        <v>169</v>
      </c>
      <c r="B4" s="894"/>
      <c r="C4" s="899" t="s">
        <v>110</v>
      </c>
      <c r="D4" s="900"/>
      <c r="E4" s="901"/>
      <c r="F4" s="138"/>
      <c r="G4" s="138"/>
      <c r="H4" s="138"/>
      <c r="I4" s="138"/>
      <c r="J4" s="139">
        <f t="shared" ref="J4:K6" si="0">F4-H4</f>
        <v>0</v>
      </c>
      <c r="K4" s="139">
        <f t="shared" si="0"/>
        <v>0</v>
      </c>
      <c r="M4" s="79"/>
      <c r="N4" s="902" t="s">
        <v>169</v>
      </c>
      <c r="O4" s="902"/>
      <c r="P4" s="903" t="s">
        <v>110</v>
      </c>
      <c r="Q4" s="903"/>
      <c r="R4" s="903"/>
      <c r="S4" s="903"/>
      <c r="T4" s="903"/>
      <c r="U4" s="904" t="str">
        <f>IF(J4=0,"",IF('F0 - Données générales'!$H$5="journalier",J4/'F2 - Données facturation'!$Y$30,IF('F0 - Données générales'!$H$5="horaire",J4/'F2 - Données facturation'!$AA$20)))</f>
        <v/>
      </c>
      <c r="V4" s="904"/>
    </row>
    <row r="5" spans="1:22" x14ac:dyDescent="0.3">
      <c r="A5" s="895"/>
      <c r="B5" s="896"/>
      <c r="C5" s="899" t="s">
        <v>111</v>
      </c>
      <c r="D5" s="900"/>
      <c r="E5" s="901"/>
      <c r="F5" s="140"/>
      <c r="G5" s="140"/>
      <c r="H5" s="140"/>
      <c r="I5" s="140"/>
      <c r="J5" s="141">
        <f t="shared" si="0"/>
        <v>0</v>
      </c>
      <c r="K5" s="141">
        <f t="shared" si="0"/>
        <v>0</v>
      </c>
      <c r="M5" s="79"/>
      <c r="N5" s="902"/>
      <c r="O5" s="902"/>
      <c r="P5" s="903" t="s">
        <v>111</v>
      </c>
      <c r="Q5" s="903"/>
      <c r="R5" s="903"/>
      <c r="S5" s="903"/>
      <c r="T5" s="903"/>
      <c r="U5" s="904" t="str">
        <f>IF(J5=0,"",IF('F0 - Données générales'!$H$5="journalier",J5/'F2 - Données facturation'!$Y$30,IF('F0 - Données générales'!$H$5="horaire",J5/'F2 - Données facturation'!$AA$20)))</f>
        <v/>
      </c>
      <c r="V5" s="904"/>
    </row>
    <row r="6" spans="1:22" x14ac:dyDescent="0.3">
      <c r="A6" s="897"/>
      <c r="B6" s="898"/>
      <c r="C6" s="899" t="s">
        <v>112</v>
      </c>
      <c r="D6" s="900"/>
      <c r="E6" s="901"/>
      <c r="F6" s="140"/>
      <c r="G6" s="140"/>
      <c r="H6" s="140"/>
      <c r="I6" s="140"/>
      <c r="J6" s="141">
        <f t="shared" si="0"/>
        <v>0</v>
      </c>
      <c r="K6" s="141">
        <f t="shared" si="0"/>
        <v>0</v>
      </c>
      <c r="M6" s="79"/>
      <c r="N6" s="902"/>
      <c r="O6" s="902"/>
      <c r="P6" s="903" t="s">
        <v>112</v>
      </c>
      <c r="Q6" s="903"/>
      <c r="R6" s="903"/>
      <c r="S6" s="903"/>
      <c r="T6" s="903"/>
      <c r="U6" s="904" t="str">
        <f>IF(J6=0,"",IF('F0 - Données générales'!$H$5="journalier",J6/'F2 - Données facturation'!$Y$30,IF('F0 - Données générales'!$H$5="horaire",J6/'F2 - Données facturation'!$AA$20)))</f>
        <v/>
      </c>
      <c r="V6" s="904"/>
    </row>
    <row r="7" spans="1:22" ht="15.6" x14ac:dyDescent="0.3">
      <c r="A7" s="909" t="s">
        <v>57</v>
      </c>
      <c r="B7" s="910"/>
      <c r="C7" s="910"/>
      <c r="D7" s="910"/>
      <c r="E7" s="911"/>
      <c r="F7" s="142">
        <f t="shared" ref="F7:K7" si="1">SUM(F4:F6)</f>
        <v>0</v>
      </c>
      <c r="G7" s="142">
        <f t="shared" si="1"/>
        <v>0</v>
      </c>
      <c r="H7" s="142">
        <f t="shared" si="1"/>
        <v>0</v>
      </c>
      <c r="I7" s="142">
        <f t="shared" si="1"/>
        <v>0</v>
      </c>
      <c r="J7" s="139">
        <f t="shared" si="1"/>
        <v>0</v>
      </c>
      <c r="K7" s="139">
        <f t="shared" si="1"/>
        <v>0</v>
      </c>
      <c r="M7" s="79"/>
      <c r="N7" s="912" t="s">
        <v>57</v>
      </c>
      <c r="O7" s="912"/>
      <c r="P7" s="912"/>
      <c r="Q7" s="912"/>
      <c r="R7" s="912"/>
      <c r="S7" s="912"/>
      <c r="T7" s="912"/>
      <c r="U7" s="905" t="str">
        <f>IF(J7=0,"",IF('F0 - Données générales'!$H$5="journalier",J7/'F2 - Données facturation'!$Y$30,IF('F0 - Données générales'!$H$5="horaire",J7/'F2 - Données facturation'!$AA$20)))</f>
        <v/>
      </c>
      <c r="V7" s="905"/>
    </row>
    <row r="8" spans="1:22" ht="18" x14ac:dyDescent="0.3">
      <c r="A8" s="886" t="s">
        <v>113</v>
      </c>
      <c r="B8" s="886"/>
      <c r="C8" s="886"/>
      <c r="D8" s="886"/>
      <c r="E8" s="886"/>
      <c r="F8" s="886"/>
      <c r="G8" s="886"/>
      <c r="H8" s="886"/>
      <c r="I8" s="886"/>
      <c r="J8" s="886"/>
      <c r="K8" s="886"/>
      <c r="M8" s="79"/>
      <c r="N8" s="887" t="s">
        <v>113</v>
      </c>
      <c r="O8" s="887"/>
      <c r="P8" s="887"/>
      <c r="Q8" s="887"/>
      <c r="R8" s="887"/>
      <c r="S8" s="887"/>
      <c r="T8" s="887"/>
      <c r="U8" s="887"/>
      <c r="V8" s="887"/>
    </row>
    <row r="9" spans="1:22" ht="57.6" x14ac:dyDescent="0.3">
      <c r="A9" s="888" t="s">
        <v>106</v>
      </c>
      <c r="B9" s="889"/>
      <c r="C9" s="889"/>
      <c r="D9" s="889"/>
      <c r="E9" s="890"/>
      <c r="F9" s="69" t="s">
        <v>749</v>
      </c>
      <c r="G9" s="70" t="s">
        <v>750</v>
      </c>
      <c r="H9" s="70" t="s">
        <v>107</v>
      </c>
      <c r="I9" s="70" t="s">
        <v>751</v>
      </c>
      <c r="J9" s="70" t="s">
        <v>108</v>
      </c>
      <c r="K9" s="70" t="s">
        <v>109</v>
      </c>
      <c r="M9" s="79"/>
      <c r="N9" s="891" t="s">
        <v>106</v>
      </c>
      <c r="O9" s="891"/>
      <c r="P9" s="891"/>
      <c r="Q9" s="891"/>
      <c r="R9" s="891"/>
      <c r="S9" s="891"/>
      <c r="T9" s="891"/>
      <c r="U9" s="892" t="s">
        <v>251</v>
      </c>
      <c r="V9" s="892"/>
    </row>
    <row r="10" spans="1:22" x14ac:dyDescent="0.3">
      <c r="A10" s="893" t="s">
        <v>169</v>
      </c>
      <c r="B10" s="894"/>
      <c r="C10" s="906" t="s">
        <v>114</v>
      </c>
      <c r="D10" s="907"/>
      <c r="E10" s="908"/>
      <c r="F10" s="138"/>
      <c r="G10" s="138"/>
      <c r="H10" s="138"/>
      <c r="I10" s="138"/>
      <c r="J10" s="139">
        <f>F10-H10</f>
        <v>0</v>
      </c>
      <c r="K10" s="139">
        <f t="shared" ref="J10:K19" si="2">G10-I10</f>
        <v>0</v>
      </c>
      <c r="M10" s="79"/>
      <c r="N10" s="902" t="s">
        <v>169</v>
      </c>
      <c r="O10" s="902"/>
      <c r="P10" s="903" t="s">
        <v>114</v>
      </c>
      <c r="Q10" s="903"/>
      <c r="R10" s="903"/>
      <c r="S10" s="903"/>
      <c r="T10" s="903"/>
      <c r="U10" s="904" t="str">
        <f>IF(J10=0,"",IF('F0 - Données générales'!$H$5="journalier",J10/'F2 - Données facturation'!$Y$30,IF('F0 - Données générales'!$H$5="horaire",J10/'F2 - Données facturation'!$AA$20)))</f>
        <v/>
      </c>
      <c r="V10" s="904"/>
    </row>
    <row r="11" spans="1:22" x14ac:dyDescent="0.3">
      <c r="A11" s="895"/>
      <c r="B11" s="896"/>
      <c r="C11" s="906" t="s">
        <v>115</v>
      </c>
      <c r="D11" s="907"/>
      <c r="E11" s="908"/>
      <c r="F11" s="140"/>
      <c r="G11" s="140"/>
      <c r="H11" s="140"/>
      <c r="I11" s="140"/>
      <c r="J11" s="141">
        <f t="shared" si="2"/>
        <v>0</v>
      </c>
      <c r="K11" s="141">
        <f t="shared" si="2"/>
        <v>0</v>
      </c>
      <c r="M11" s="79"/>
      <c r="N11" s="902"/>
      <c r="O11" s="902"/>
      <c r="P11" s="903" t="s">
        <v>115</v>
      </c>
      <c r="Q11" s="903"/>
      <c r="R11" s="903"/>
      <c r="S11" s="903"/>
      <c r="T11" s="903"/>
      <c r="U11" s="904" t="str">
        <f>IF(J11=0,"",IF('F0 - Données générales'!$H$5="journalier",J11/'F2 - Données facturation'!$Y$30,IF('F0 - Données générales'!$H$5="horaire",J11/'F2 - Données facturation'!$AA$20)))</f>
        <v/>
      </c>
      <c r="V11" s="904"/>
    </row>
    <row r="12" spans="1:22" x14ac:dyDescent="0.3">
      <c r="A12" s="895"/>
      <c r="B12" s="896"/>
      <c r="C12" s="906" t="s">
        <v>116</v>
      </c>
      <c r="D12" s="907"/>
      <c r="E12" s="908"/>
      <c r="F12" s="140"/>
      <c r="G12" s="140"/>
      <c r="H12" s="140"/>
      <c r="I12" s="140"/>
      <c r="J12" s="141">
        <f t="shared" si="2"/>
        <v>0</v>
      </c>
      <c r="K12" s="141">
        <f t="shared" si="2"/>
        <v>0</v>
      </c>
      <c r="M12" s="79"/>
      <c r="N12" s="902"/>
      <c r="O12" s="902"/>
      <c r="P12" s="903" t="s">
        <v>116</v>
      </c>
      <c r="Q12" s="903"/>
      <c r="R12" s="903"/>
      <c r="S12" s="903"/>
      <c r="T12" s="903"/>
      <c r="U12" s="904" t="str">
        <f>IF(J12=0,"",IF('F0 - Données générales'!$H$5="journalier",J12/'F2 - Données facturation'!$Y$30,IF('F0 - Données générales'!$H$5="horaire",J12/'F2 - Données facturation'!$AA$20)))</f>
        <v/>
      </c>
      <c r="V12" s="904"/>
    </row>
    <row r="13" spans="1:22" x14ac:dyDescent="0.3">
      <c r="A13" s="895"/>
      <c r="B13" s="896"/>
      <c r="C13" s="906" t="s">
        <v>117</v>
      </c>
      <c r="D13" s="907"/>
      <c r="E13" s="908"/>
      <c r="F13" s="140"/>
      <c r="G13" s="140"/>
      <c r="H13" s="140"/>
      <c r="I13" s="140"/>
      <c r="J13" s="141">
        <f t="shared" si="2"/>
        <v>0</v>
      </c>
      <c r="K13" s="141">
        <f t="shared" si="2"/>
        <v>0</v>
      </c>
      <c r="M13" s="79"/>
      <c r="N13" s="902"/>
      <c r="O13" s="902"/>
      <c r="P13" s="903" t="s">
        <v>117</v>
      </c>
      <c r="Q13" s="903"/>
      <c r="R13" s="903"/>
      <c r="S13" s="903"/>
      <c r="T13" s="903"/>
      <c r="U13" s="904" t="str">
        <f>IF(J13=0,"",IF('F0 - Données générales'!$H$5="journalier",J13/'F2 - Données facturation'!$Y$30,IF('F0 - Données générales'!$H$5="horaire",J13/'F2 - Données facturation'!$AA$20)))</f>
        <v/>
      </c>
      <c r="V13" s="904"/>
    </row>
    <row r="14" spans="1:22" x14ac:dyDescent="0.3">
      <c r="A14" s="895"/>
      <c r="B14" s="896"/>
      <c r="C14" s="906" t="s">
        <v>118</v>
      </c>
      <c r="D14" s="907"/>
      <c r="E14" s="908"/>
      <c r="F14" s="140"/>
      <c r="G14" s="140"/>
      <c r="H14" s="140"/>
      <c r="I14" s="140"/>
      <c r="J14" s="141">
        <f t="shared" si="2"/>
        <v>0</v>
      </c>
      <c r="K14" s="141">
        <f t="shared" si="2"/>
        <v>0</v>
      </c>
      <c r="M14" s="79"/>
      <c r="N14" s="902"/>
      <c r="O14" s="902"/>
      <c r="P14" s="903" t="s">
        <v>118</v>
      </c>
      <c r="Q14" s="903"/>
      <c r="R14" s="903"/>
      <c r="S14" s="903"/>
      <c r="T14" s="903"/>
      <c r="U14" s="904" t="str">
        <f>IF(J14=0,"",IF('F0 - Données générales'!$H$5="journalier",J14/'F2 - Données facturation'!$Y$30,IF('F0 - Données générales'!$H$5="horaire",J14/'F2 - Données facturation'!$AA$20)))</f>
        <v/>
      </c>
      <c r="V14" s="904"/>
    </row>
    <row r="15" spans="1:22" x14ac:dyDescent="0.3">
      <c r="A15" s="895"/>
      <c r="B15" s="896"/>
      <c r="C15" s="906" t="s">
        <v>119</v>
      </c>
      <c r="D15" s="907"/>
      <c r="E15" s="908"/>
      <c r="F15" s="140"/>
      <c r="G15" s="140"/>
      <c r="H15" s="140"/>
      <c r="I15" s="140"/>
      <c r="J15" s="141">
        <f>F15-H15</f>
        <v>0</v>
      </c>
      <c r="K15" s="141">
        <f>G15-I15</f>
        <v>0</v>
      </c>
      <c r="M15" s="79"/>
      <c r="N15" s="902"/>
      <c r="O15" s="902"/>
      <c r="P15" s="903" t="s">
        <v>119</v>
      </c>
      <c r="Q15" s="903"/>
      <c r="R15" s="903"/>
      <c r="S15" s="903"/>
      <c r="T15" s="903"/>
      <c r="U15" s="904" t="str">
        <f>IF(J15=0,"",IF('F0 - Données générales'!$H$5="journalier",J15/'F2 - Données facturation'!$Y$30,IF('F0 - Données générales'!$H$5="horaire",J15/'F2 - Données facturation'!$AA$20)))</f>
        <v/>
      </c>
      <c r="V15" s="904"/>
    </row>
    <row r="16" spans="1:22" x14ac:dyDescent="0.3">
      <c r="A16" s="895"/>
      <c r="B16" s="896"/>
      <c r="C16" s="906" t="s">
        <v>120</v>
      </c>
      <c r="D16" s="907"/>
      <c r="E16" s="908"/>
      <c r="F16" s="140"/>
      <c r="G16" s="140"/>
      <c r="H16" s="140"/>
      <c r="I16" s="140"/>
      <c r="J16" s="141">
        <f t="shared" si="2"/>
        <v>0</v>
      </c>
      <c r="K16" s="141">
        <f t="shared" si="2"/>
        <v>0</v>
      </c>
      <c r="M16" s="79"/>
      <c r="N16" s="902"/>
      <c r="O16" s="902"/>
      <c r="P16" s="903" t="s">
        <v>120</v>
      </c>
      <c r="Q16" s="903"/>
      <c r="R16" s="903"/>
      <c r="S16" s="903"/>
      <c r="T16" s="903"/>
      <c r="U16" s="904" t="str">
        <f>IF(J16=0,"",IF('F0 - Données générales'!$H$5="journalier",J16/'F2 - Données facturation'!$Y$30,IF('F0 - Données générales'!$H$5="horaire",J16/'F2 - Données facturation'!$AA$20)))</f>
        <v/>
      </c>
      <c r="V16" s="904"/>
    </row>
    <row r="17" spans="1:22" x14ac:dyDescent="0.3">
      <c r="A17" s="895"/>
      <c r="B17" s="896"/>
      <c r="C17" s="906" t="s">
        <v>121</v>
      </c>
      <c r="D17" s="907"/>
      <c r="E17" s="908"/>
      <c r="F17" s="140"/>
      <c r="G17" s="140"/>
      <c r="H17" s="140"/>
      <c r="I17" s="140"/>
      <c r="J17" s="141">
        <f t="shared" si="2"/>
        <v>0</v>
      </c>
      <c r="K17" s="141">
        <f t="shared" si="2"/>
        <v>0</v>
      </c>
      <c r="M17" s="79"/>
      <c r="N17" s="902"/>
      <c r="O17" s="902"/>
      <c r="P17" s="903" t="s">
        <v>121</v>
      </c>
      <c r="Q17" s="903"/>
      <c r="R17" s="903"/>
      <c r="S17" s="903"/>
      <c r="T17" s="903"/>
      <c r="U17" s="904" t="str">
        <f>IF(J17=0,"",IF('F0 - Données générales'!$H$5="journalier",J17/'F2 - Données facturation'!$Y$30,IF('F0 - Données générales'!$H$5="horaire",J17/'F2 - Données facturation'!$AA$20)))</f>
        <v/>
      </c>
      <c r="V17" s="904"/>
    </row>
    <row r="18" spans="1:22" x14ac:dyDescent="0.3">
      <c r="A18" s="897"/>
      <c r="B18" s="898"/>
      <c r="C18" s="906" t="s">
        <v>122</v>
      </c>
      <c r="D18" s="907"/>
      <c r="E18" s="908"/>
      <c r="F18" s="140"/>
      <c r="G18" s="140"/>
      <c r="H18" s="140"/>
      <c r="I18" s="140"/>
      <c r="J18" s="141">
        <f t="shared" si="2"/>
        <v>0</v>
      </c>
      <c r="K18" s="141">
        <f t="shared" si="2"/>
        <v>0</v>
      </c>
      <c r="M18" s="79"/>
      <c r="N18" s="902"/>
      <c r="O18" s="902"/>
      <c r="P18" s="903" t="s">
        <v>122</v>
      </c>
      <c r="Q18" s="903"/>
      <c r="R18" s="903"/>
      <c r="S18" s="903"/>
      <c r="T18" s="903"/>
      <c r="U18" s="904" t="str">
        <f>IF(J18=0,"",IF('F0 - Données générales'!$H$5="journalier",J18/'F2 - Données facturation'!$Y$30,IF('F0 - Données générales'!$H$5="horaire",J18/'F2 - Données facturation'!$AA$20)))</f>
        <v/>
      </c>
      <c r="V18" s="904"/>
    </row>
    <row r="19" spans="1:22" ht="30" customHeight="1" x14ac:dyDescent="0.3">
      <c r="A19" s="893" t="s">
        <v>170</v>
      </c>
      <c r="B19" s="894"/>
      <c r="C19" s="917" t="s">
        <v>123</v>
      </c>
      <c r="D19" s="918"/>
      <c r="E19" s="919"/>
      <c r="F19" s="143"/>
      <c r="G19" s="143"/>
      <c r="H19" s="143"/>
      <c r="I19" s="143"/>
      <c r="J19" s="144">
        <f t="shared" si="2"/>
        <v>0</v>
      </c>
      <c r="K19" s="144">
        <f t="shared" si="2"/>
        <v>0</v>
      </c>
      <c r="M19" s="79"/>
      <c r="N19" s="902" t="s">
        <v>170</v>
      </c>
      <c r="O19" s="902"/>
      <c r="P19" s="913" t="s">
        <v>123</v>
      </c>
      <c r="Q19" s="913"/>
      <c r="R19" s="913"/>
      <c r="S19" s="913"/>
      <c r="T19" s="913"/>
      <c r="U19" s="904" t="str">
        <f>IF(J19=0,"",IF('F0 - Données générales'!$H$5="journalier",J19/'F2 - Données facturation'!$Y$30,IF('F0 - Données générales'!$H$5="horaire",J19/'F2 - Données facturation'!$AA$20)))</f>
        <v/>
      </c>
      <c r="V19" s="904"/>
    </row>
    <row r="20" spans="1:22" ht="15.6" x14ac:dyDescent="0.3">
      <c r="A20" s="914" t="s">
        <v>57</v>
      </c>
      <c r="B20" s="915"/>
      <c r="C20" s="915"/>
      <c r="D20" s="915"/>
      <c r="E20" s="916"/>
      <c r="F20" s="145">
        <f t="shared" ref="F20:K20" si="3">SUM(F10:F19)</f>
        <v>0</v>
      </c>
      <c r="G20" s="146">
        <f t="shared" si="3"/>
        <v>0</v>
      </c>
      <c r="H20" s="146">
        <f t="shared" si="3"/>
        <v>0</v>
      </c>
      <c r="I20" s="146">
        <f t="shared" si="3"/>
        <v>0</v>
      </c>
      <c r="J20" s="147">
        <f t="shared" si="3"/>
        <v>0</v>
      </c>
      <c r="K20" s="147">
        <f t="shared" si="3"/>
        <v>0</v>
      </c>
      <c r="M20" s="79"/>
      <c r="N20" s="912" t="s">
        <v>57</v>
      </c>
      <c r="O20" s="912"/>
      <c r="P20" s="912"/>
      <c r="Q20" s="912"/>
      <c r="R20" s="912"/>
      <c r="S20" s="912"/>
      <c r="T20" s="912"/>
      <c r="U20" s="905" t="str">
        <f>IF(J20=0,"",IF('F0 - Données générales'!$H$5="journalier",J20/'F2 - Données facturation'!$Y$30,IF('F0 - Données générales'!$H$5="horaire",J20/'F2 - Données facturation'!$AA$20)))</f>
        <v/>
      </c>
      <c r="V20" s="905"/>
    </row>
  </sheetData>
  <mergeCells count="61">
    <mergeCell ref="U19:V19"/>
    <mergeCell ref="U16:V16"/>
    <mergeCell ref="A20:E20"/>
    <mergeCell ref="N20:T20"/>
    <mergeCell ref="U20:V20"/>
    <mergeCell ref="C17:E17"/>
    <mergeCell ref="P17:T17"/>
    <mergeCell ref="U17:V17"/>
    <mergeCell ref="C18:E18"/>
    <mergeCell ref="P18:T18"/>
    <mergeCell ref="U18:V18"/>
    <mergeCell ref="A10:B18"/>
    <mergeCell ref="C10:E10"/>
    <mergeCell ref="A19:B19"/>
    <mergeCell ref="C19:E19"/>
    <mergeCell ref="N19:O19"/>
    <mergeCell ref="P19:T19"/>
    <mergeCell ref="C14:E14"/>
    <mergeCell ref="P14:T14"/>
    <mergeCell ref="U14:V14"/>
    <mergeCell ref="N10:O18"/>
    <mergeCell ref="P10:T10"/>
    <mergeCell ref="U10:V10"/>
    <mergeCell ref="C11:E11"/>
    <mergeCell ref="P11:T11"/>
    <mergeCell ref="U11:V11"/>
    <mergeCell ref="C12:E12"/>
    <mergeCell ref="P12:T12"/>
    <mergeCell ref="C15:E15"/>
    <mergeCell ref="P15:T15"/>
    <mergeCell ref="U15:V15"/>
    <mergeCell ref="C16:E16"/>
    <mergeCell ref="P16:T16"/>
    <mergeCell ref="U7:V7"/>
    <mergeCell ref="A8:K8"/>
    <mergeCell ref="N8:V8"/>
    <mergeCell ref="U12:V12"/>
    <mergeCell ref="C13:E13"/>
    <mergeCell ref="P13:T13"/>
    <mergeCell ref="U13:V13"/>
    <mergeCell ref="A9:E9"/>
    <mergeCell ref="N9:T9"/>
    <mergeCell ref="U9:V9"/>
    <mergeCell ref="A7:E7"/>
    <mergeCell ref="N7:T7"/>
    <mergeCell ref="A4:B6"/>
    <mergeCell ref="C4:E4"/>
    <mergeCell ref="N4:O6"/>
    <mergeCell ref="P4:T4"/>
    <mergeCell ref="U4:V4"/>
    <mergeCell ref="C5:E5"/>
    <mergeCell ref="P5:T5"/>
    <mergeCell ref="U5:V5"/>
    <mergeCell ref="C6:E6"/>
    <mergeCell ref="P6:T6"/>
    <mergeCell ref="U6:V6"/>
    <mergeCell ref="A2:K2"/>
    <mergeCell ref="N2:V2"/>
    <mergeCell ref="A3:E3"/>
    <mergeCell ref="N3:T3"/>
    <mergeCell ref="U3:V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AD26"/>
  <sheetViews>
    <sheetView zoomScale="85" zoomScaleNormal="85" workbookViewId="0">
      <selection activeCell="A2" sqref="A2:A4"/>
    </sheetView>
  </sheetViews>
  <sheetFormatPr defaultColWidth="11.44140625" defaultRowHeight="14.4" x14ac:dyDescent="0.3"/>
  <cols>
    <col min="2" max="5" width="23" customWidth="1"/>
    <col min="6" max="12" width="19.44140625" customWidth="1"/>
    <col min="13" max="16" width="22.44140625" customWidth="1"/>
    <col min="17" max="18" width="19.44140625" customWidth="1"/>
  </cols>
  <sheetData>
    <row r="1" spans="1:30" x14ac:dyDescent="0.3">
      <c r="A1" s="1" t="s">
        <v>171</v>
      </c>
    </row>
    <row r="2" spans="1:30" ht="27" customHeight="1" x14ac:dyDescent="0.3">
      <c r="A2" s="923" t="s">
        <v>11</v>
      </c>
      <c r="B2" s="923" t="s">
        <v>124</v>
      </c>
      <c r="C2" s="923"/>
      <c r="D2" s="923"/>
      <c r="E2" s="923"/>
      <c r="F2" s="924" t="s">
        <v>271</v>
      </c>
      <c r="G2" s="924"/>
      <c r="H2" s="925" t="s">
        <v>272</v>
      </c>
      <c r="I2" s="926"/>
      <c r="J2" s="927"/>
      <c r="K2" s="924" t="s">
        <v>350</v>
      </c>
      <c r="L2" s="924" t="s">
        <v>382</v>
      </c>
      <c r="M2" s="924" t="s">
        <v>442</v>
      </c>
      <c r="N2" s="924"/>
      <c r="O2" s="924" t="s">
        <v>443</v>
      </c>
      <c r="P2" s="924"/>
      <c r="Q2" s="923" t="s">
        <v>383</v>
      </c>
      <c r="R2" s="923" t="s">
        <v>57</v>
      </c>
      <c r="U2" s="113"/>
      <c r="V2" s="920"/>
      <c r="W2" s="920"/>
      <c r="X2" s="920"/>
      <c r="Y2" s="920"/>
      <c r="Z2" s="920"/>
      <c r="AA2" s="920"/>
      <c r="AB2" s="920"/>
      <c r="AC2" s="920"/>
      <c r="AD2" s="920"/>
    </row>
    <row r="3" spans="1:30" ht="37.5" customHeight="1" x14ac:dyDescent="0.3">
      <c r="A3" s="923"/>
      <c r="B3" s="923"/>
      <c r="C3" s="923"/>
      <c r="D3" s="923"/>
      <c r="E3" s="923"/>
      <c r="F3" s="924" t="s">
        <v>95</v>
      </c>
      <c r="G3" s="924" t="s">
        <v>273</v>
      </c>
      <c r="H3" s="924" t="s">
        <v>376</v>
      </c>
      <c r="I3" s="925" t="s">
        <v>274</v>
      </c>
      <c r="J3" s="927"/>
      <c r="K3" s="924"/>
      <c r="L3" s="924"/>
      <c r="M3" s="946" t="s">
        <v>351</v>
      </c>
      <c r="N3" s="946" t="s">
        <v>276</v>
      </c>
      <c r="O3" s="946" t="s">
        <v>351</v>
      </c>
      <c r="P3" s="946" t="s">
        <v>276</v>
      </c>
      <c r="Q3" s="923"/>
      <c r="R3" s="923"/>
      <c r="U3" s="114"/>
      <c r="V3" s="921"/>
      <c r="W3" s="921"/>
      <c r="X3" s="921"/>
      <c r="Y3" s="921"/>
      <c r="Z3" s="921"/>
      <c r="AA3" s="921"/>
      <c r="AB3" s="921"/>
      <c r="AC3" s="922"/>
      <c r="AD3" s="922"/>
    </row>
    <row r="4" spans="1:30" ht="50.4" customHeight="1" x14ac:dyDescent="0.3">
      <c r="A4" s="923"/>
      <c r="B4" s="923"/>
      <c r="C4" s="923"/>
      <c r="D4" s="923"/>
      <c r="E4" s="923"/>
      <c r="F4" s="924"/>
      <c r="G4" s="924"/>
      <c r="H4" s="924"/>
      <c r="I4" s="66" t="s">
        <v>275</v>
      </c>
      <c r="J4" s="167" t="s">
        <v>293</v>
      </c>
      <c r="K4" s="924"/>
      <c r="L4" s="924"/>
      <c r="M4" s="947"/>
      <c r="N4" s="947"/>
      <c r="O4" s="947"/>
      <c r="P4" s="947"/>
      <c r="Q4" s="923"/>
      <c r="R4" s="923"/>
    </row>
    <row r="5" spans="1:30" ht="30" customHeight="1" x14ac:dyDescent="0.3">
      <c r="A5" s="115">
        <v>1</v>
      </c>
      <c r="B5" s="913" t="s">
        <v>736</v>
      </c>
      <c r="C5" s="913"/>
      <c r="D5" s="913"/>
      <c r="E5" s="913"/>
      <c r="F5" s="148"/>
      <c r="G5" s="149"/>
      <c r="H5" s="149"/>
      <c r="I5" s="149"/>
      <c r="J5" s="149"/>
      <c r="K5" s="150"/>
      <c r="L5" s="151"/>
      <c r="M5" s="148"/>
      <c r="N5" s="148"/>
      <c r="O5" s="148"/>
      <c r="P5" s="149"/>
      <c r="Q5" s="152">
        <f t="shared" ref="Q5:Q12" si="0">SUM(F5:J5)-SUM(M5:P5)</f>
        <v>0</v>
      </c>
      <c r="R5" s="152">
        <f>SUM(F5:K5)-SUM(L5:P5)</f>
        <v>0</v>
      </c>
    </row>
    <row r="6" spans="1:30" ht="30" customHeight="1" x14ac:dyDescent="0.3">
      <c r="A6" s="116">
        <v>2</v>
      </c>
      <c r="B6" s="913" t="s">
        <v>268</v>
      </c>
      <c r="C6" s="913"/>
      <c r="D6" s="913"/>
      <c r="E6" s="913"/>
      <c r="F6" s="153"/>
      <c r="G6" s="149"/>
      <c r="H6" s="149"/>
      <c r="I6" s="149"/>
      <c r="J6" s="149"/>
      <c r="K6" s="150"/>
      <c r="L6" s="154"/>
      <c r="M6" s="148"/>
      <c r="N6" s="148"/>
      <c r="O6" s="148"/>
      <c r="P6" s="149"/>
      <c r="Q6" s="152">
        <f t="shared" si="0"/>
        <v>0</v>
      </c>
      <c r="R6" s="152">
        <f>SUM(F6:K6)-SUM(L6:P6)</f>
        <v>0</v>
      </c>
    </row>
    <row r="7" spans="1:30" ht="30" customHeight="1" x14ac:dyDescent="0.3">
      <c r="A7" s="116">
        <v>3</v>
      </c>
      <c r="B7" s="913" t="s">
        <v>269</v>
      </c>
      <c r="C7" s="913"/>
      <c r="D7" s="913"/>
      <c r="E7" s="913"/>
      <c r="F7" s="153"/>
      <c r="G7" s="149"/>
      <c r="H7" s="149"/>
      <c r="I7" s="149"/>
      <c r="J7" s="149"/>
      <c r="K7" s="150"/>
      <c r="L7" s="154"/>
      <c r="M7" s="148"/>
      <c r="N7" s="148"/>
      <c r="O7" s="148"/>
      <c r="P7" s="149"/>
      <c r="Q7" s="152">
        <f t="shared" si="0"/>
        <v>0</v>
      </c>
      <c r="R7" s="152">
        <f t="shared" ref="R7:R12" si="1">SUM(F7:K7)-SUM(L7:P7)</f>
        <v>0</v>
      </c>
    </row>
    <row r="8" spans="1:30" ht="30" customHeight="1" x14ac:dyDescent="0.3">
      <c r="A8" s="116">
        <v>4</v>
      </c>
      <c r="B8" s="913" t="s">
        <v>266</v>
      </c>
      <c r="C8" s="913"/>
      <c r="D8" s="913"/>
      <c r="E8" s="913"/>
      <c r="F8" s="153"/>
      <c r="G8" s="149"/>
      <c r="H8" s="149"/>
      <c r="I8" s="149"/>
      <c r="J8" s="149"/>
      <c r="K8" s="150"/>
      <c r="L8" s="154"/>
      <c r="M8" s="148"/>
      <c r="N8" s="148"/>
      <c r="O8" s="148"/>
      <c r="P8" s="149"/>
      <c r="Q8" s="152">
        <f t="shared" si="0"/>
        <v>0</v>
      </c>
      <c r="R8" s="152">
        <f t="shared" si="1"/>
        <v>0</v>
      </c>
    </row>
    <row r="9" spans="1:30" ht="30" customHeight="1" x14ac:dyDescent="0.3">
      <c r="A9" s="116">
        <v>5</v>
      </c>
      <c r="B9" s="913" t="s">
        <v>380</v>
      </c>
      <c r="C9" s="913"/>
      <c r="D9" s="913"/>
      <c r="E9" s="913"/>
      <c r="F9" s="153"/>
      <c r="G9" s="149"/>
      <c r="H9" s="149"/>
      <c r="I9" s="149"/>
      <c r="J9" s="149"/>
      <c r="K9" s="150"/>
      <c r="L9" s="154"/>
      <c r="M9" s="148"/>
      <c r="N9" s="148"/>
      <c r="O9" s="148"/>
      <c r="P9" s="149"/>
      <c r="Q9" s="152">
        <f t="shared" si="0"/>
        <v>0</v>
      </c>
      <c r="R9" s="152">
        <f t="shared" si="1"/>
        <v>0</v>
      </c>
    </row>
    <row r="10" spans="1:30" ht="30" customHeight="1" x14ac:dyDescent="0.3">
      <c r="A10" s="116">
        <v>6</v>
      </c>
      <c r="B10" s="913" t="s">
        <v>289</v>
      </c>
      <c r="C10" s="913"/>
      <c r="D10" s="913"/>
      <c r="E10" s="913"/>
      <c r="F10" s="153"/>
      <c r="G10" s="149"/>
      <c r="H10" s="149"/>
      <c r="I10" s="149"/>
      <c r="J10" s="149"/>
      <c r="K10" s="150"/>
      <c r="L10" s="154"/>
      <c r="M10" s="148"/>
      <c r="N10" s="148"/>
      <c r="O10" s="148"/>
      <c r="P10" s="149"/>
      <c r="Q10" s="152">
        <f t="shared" si="0"/>
        <v>0</v>
      </c>
      <c r="R10" s="152">
        <f t="shared" si="1"/>
        <v>0</v>
      </c>
    </row>
    <row r="11" spans="1:30" ht="30" customHeight="1" x14ac:dyDescent="0.3">
      <c r="A11" s="116">
        <v>7</v>
      </c>
      <c r="B11" s="913" t="s">
        <v>270</v>
      </c>
      <c r="C11" s="913"/>
      <c r="D11" s="913"/>
      <c r="E11" s="913"/>
      <c r="F11" s="153"/>
      <c r="G11" s="149"/>
      <c r="H11" s="149"/>
      <c r="I11" s="149"/>
      <c r="J11" s="149"/>
      <c r="K11" s="150"/>
      <c r="L11" s="154"/>
      <c r="M11" s="148"/>
      <c r="N11" s="148"/>
      <c r="O11" s="148"/>
      <c r="P11" s="149"/>
      <c r="Q11" s="152">
        <f t="shared" si="0"/>
        <v>0</v>
      </c>
      <c r="R11" s="152">
        <f t="shared" si="1"/>
        <v>0</v>
      </c>
    </row>
    <row r="12" spans="1:30" ht="30.75" customHeight="1" x14ac:dyDescent="0.3">
      <c r="A12" s="18"/>
      <c r="B12" s="923" t="s">
        <v>94</v>
      </c>
      <c r="C12" s="923"/>
      <c r="D12" s="923"/>
      <c r="E12" s="923"/>
      <c r="F12" s="155">
        <f t="shared" ref="F12:L12" si="2">SUM(F5:F11)</f>
        <v>0</v>
      </c>
      <c r="G12" s="155">
        <f t="shared" si="2"/>
        <v>0</v>
      </c>
      <c r="H12" s="155">
        <f t="shared" si="2"/>
        <v>0</v>
      </c>
      <c r="I12" s="155">
        <f t="shared" si="2"/>
        <v>0</v>
      </c>
      <c r="J12" s="155">
        <f t="shared" si="2"/>
        <v>0</v>
      </c>
      <c r="K12" s="155">
        <f t="shared" si="2"/>
        <v>0</v>
      </c>
      <c r="L12" s="155">
        <f t="shared" si="2"/>
        <v>0</v>
      </c>
      <c r="M12" s="155">
        <f>SUM(M5:M11)</f>
        <v>0</v>
      </c>
      <c r="N12" s="155">
        <f>SUM(N5:N11)</f>
        <v>0</v>
      </c>
      <c r="O12" s="155">
        <f>SUM(O5:O11)</f>
        <v>0</v>
      </c>
      <c r="P12" s="155">
        <f>SUM(P5:P11)</f>
        <v>0</v>
      </c>
      <c r="Q12" s="155">
        <f t="shared" si="0"/>
        <v>0</v>
      </c>
      <c r="R12" s="155">
        <f t="shared" si="1"/>
        <v>0</v>
      </c>
    </row>
    <row r="13" spans="1:30" ht="30.75" customHeight="1" x14ac:dyDescent="0.3"/>
    <row r="16" spans="1:30" ht="22.5" customHeight="1" x14ac:dyDescent="0.3">
      <c r="A16" s="923" t="s">
        <v>11</v>
      </c>
      <c r="B16" s="928" t="s">
        <v>124</v>
      </c>
      <c r="C16" s="929"/>
      <c r="D16" s="929"/>
      <c r="E16" s="930"/>
      <c r="F16" s="937" t="s">
        <v>290</v>
      </c>
      <c r="G16" s="938"/>
    </row>
    <row r="17" spans="1:8" ht="24.75" customHeight="1" x14ac:dyDescent="0.3">
      <c r="A17" s="923"/>
      <c r="B17" s="931"/>
      <c r="C17" s="932"/>
      <c r="D17" s="932"/>
      <c r="E17" s="933"/>
      <c r="F17" s="939" t="s">
        <v>347</v>
      </c>
      <c r="G17" s="939" t="s">
        <v>348</v>
      </c>
    </row>
    <row r="18" spans="1:8" ht="24.75" customHeight="1" x14ac:dyDescent="0.3">
      <c r="A18" s="923"/>
      <c r="B18" s="934"/>
      <c r="C18" s="935"/>
      <c r="D18" s="935"/>
      <c r="E18" s="936"/>
      <c r="F18" s="940"/>
      <c r="G18" s="940"/>
      <c r="H18" s="253"/>
    </row>
    <row r="19" spans="1:8" ht="30" customHeight="1" x14ac:dyDescent="0.3">
      <c r="A19" s="115">
        <v>1</v>
      </c>
      <c r="B19" s="941" t="s">
        <v>267</v>
      </c>
      <c r="C19" s="942"/>
      <c r="D19" s="942"/>
      <c r="E19" s="943"/>
      <c r="F19" s="245" t="e">
        <f>IF('F0 - Données générales'!$H$5="journalier",'F5 - Frais et recettes'!Q5/'F2 - Données facturation'!$Y$37,IF('F0 - Données générales'!$H$5="horaire",'F5 - Frais et recettes'!Q5/'F2 - Données facturation'!$AA$20,""))</f>
        <v>#DIV/0!</v>
      </c>
      <c r="G19" s="245" t="e">
        <f>IF('F0 - Données générales'!$H$5="journalier",'F5 - Frais et recettes'!R5/'F2 - Données facturation'!$Y$37,IF('F0 - Données générales'!$H$5="horaire",'F5 - Frais et recettes'!R5/'F2 - Données facturation'!$AA$20,""))</f>
        <v>#DIV/0!</v>
      </c>
      <c r="H19" s="314"/>
    </row>
    <row r="20" spans="1:8" ht="30" customHeight="1" x14ac:dyDescent="0.3">
      <c r="A20" s="116">
        <v>2</v>
      </c>
      <c r="B20" s="941" t="s">
        <v>268</v>
      </c>
      <c r="C20" s="942"/>
      <c r="D20" s="942"/>
      <c r="E20" s="943"/>
      <c r="F20" s="245" t="e">
        <f>IF('F0 - Données générales'!$H$5="journalier",'F5 - Frais et recettes'!Q6/'F2 - Données facturation'!$Y$37,IF('F0 - Données générales'!$H$5="horaire",'F5 - Frais et recettes'!Q6/'F2 - Données facturation'!$AA$20,""))</f>
        <v>#DIV/0!</v>
      </c>
      <c r="G20" s="245" t="e">
        <f>IF('F0 - Données générales'!$H$5="journalier",'F5 - Frais et recettes'!R6/'F2 - Données facturation'!$Y$37,IF('F0 - Données générales'!$H$5="horaire",'F5 - Frais et recettes'!R6/'F2 - Données facturation'!$AA$20,""))</f>
        <v>#DIV/0!</v>
      </c>
      <c r="H20" s="314"/>
    </row>
    <row r="21" spans="1:8" ht="30" customHeight="1" x14ac:dyDescent="0.3">
      <c r="A21" s="116">
        <v>3</v>
      </c>
      <c r="B21" s="941" t="s">
        <v>269</v>
      </c>
      <c r="C21" s="942"/>
      <c r="D21" s="942"/>
      <c r="E21" s="943"/>
      <c r="F21" s="245" t="e">
        <f>IF('F0 - Données générales'!$H$5="journalier",'F5 - Frais et recettes'!Q7/'F2 - Données facturation'!$Y$37,IF('F0 - Données générales'!$H$5="horaire",'F5 - Frais et recettes'!Q7/'F2 - Données facturation'!$AA$20,""))</f>
        <v>#DIV/0!</v>
      </c>
      <c r="G21" s="245" t="e">
        <f>IF('F0 - Données générales'!$H$5="journalier",'F5 - Frais et recettes'!R7/'F2 - Données facturation'!$Y$37,IF('F0 - Données générales'!$H$5="horaire",'F5 - Frais et recettes'!R7/'F2 - Données facturation'!$AA$20,""))</f>
        <v>#DIV/0!</v>
      </c>
      <c r="H21" s="314"/>
    </row>
    <row r="22" spans="1:8" ht="30" customHeight="1" x14ac:dyDescent="0.3">
      <c r="A22" s="116">
        <v>4</v>
      </c>
      <c r="B22" s="941" t="s">
        <v>266</v>
      </c>
      <c r="C22" s="942"/>
      <c r="D22" s="942"/>
      <c r="E22" s="943"/>
      <c r="F22" s="245" t="e">
        <f>IF('F0 - Données générales'!$H$5="journalier",'F5 - Frais et recettes'!Q8/'F2 - Données facturation'!$Y$37,IF('F0 - Données générales'!$H$5="horaire",'F5 - Frais et recettes'!Q8/'F2 - Données facturation'!$AA$20,""))</f>
        <v>#DIV/0!</v>
      </c>
      <c r="G22" s="245" t="e">
        <f>IF('F0 - Données générales'!$H$5="journalier",'F5 - Frais et recettes'!R8/'F2 - Données facturation'!$Y$37,IF('F0 - Données générales'!$H$5="horaire",'F5 - Frais et recettes'!R8/'F2 - Données facturation'!$AA$20,""))</f>
        <v>#DIV/0!</v>
      </c>
      <c r="H22" s="314"/>
    </row>
    <row r="23" spans="1:8" ht="30" customHeight="1" x14ac:dyDescent="0.3">
      <c r="A23" s="116">
        <v>5</v>
      </c>
      <c r="B23" s="941" t="s">
        <v>380</v>
      </c>
      <c r="C23" s="942"/>
      <c r="D23" s="942"/>
      <c r="E23" s="943"/>
      <c r="F23" s="245" t="e">
        <f>IF('F0 - Données générales'!$H$5="journalier",'F5 - Frais et recettes'!Q9/'F2 - Données facturation'!$Y$37,IF('F0 - Données générales'!$H$5="horaire",'F5 - Frais et recettes'!Q9/'F2 - Données facturation'!$AA$20,""))</f>
        <v>#DIV/0!</v>
      </c>
      <c r="G23" s="245" t="e">
        <f>IF('F0 - Données générales'!$H$5="journalier",'F5 - Frais et recettes'!R9/'F2 - Données facturation'!$Y$37,IF('F0 - Données générales'!$H$5="horaire",'F5 - Frais et recettes'!R9/'F2 - Données facturation'!$AA$20,""))</f>
        <v>#DIV/0!</v>
      </c>
      <c r="H23" s="314"/>
    </row>
    <row r="24" spans="1:8" ht="30" customHeight="1" x14ac:dyDescent="0.3">
      <c r="A24" s="116">
        <v>6</v>
      </c>
      <c r="B24" s="941" t="s">
        <v>289</v>
      </c>
      <c r="C24" s="942"/>
      <c r="D24" s="942"/>
      <c r="E24" s="943"/>
      <c r="F24" s="245" t="e">
        <f>IF('F0 - Données générales'!$H$5="journalier",'F5 - Frais et recettes'!Q10/'F2 - Données facturation'!$Y$37,IF('F0 - Données générales'!$H$5="horaire",'F5 - Frais et recettes'!Q10/'F2 - Données facturation'!$AA$20,""))</f>
        <v>#DIV/0!</v>
      </c>
      <c r="G24" s="245" t="e">
        <f>IF('F0 - Données générales'!$H$5="journalier",'F5 - Frais et recettes'!R10/'F2 - Données facturation'!$Y$37,IF('F0 - Données générales'!$H$5="horaire",'F5 - Frais et recettes'!R10/'F2 - Données facturation'!$AA$20,""))</f>
        <v>#DIV/0!</v>
      </c>
      <c r="H24" s="314"/>
    </row>
    <row r="25" spans="1:8" ht="30" customHeight="1" x14ac:dyDescent="0.3">
      <c r="A25" s="116">
        <v>7</v>
      </c>
      <c r="B25" s="941" t="s">
        <v>270</v>
      </c>
      <c r="C25" s="942"/>
      <c r="D25" s="942"/>
      <c r="E25" s="943"/>
      <c r="F25" s="245" t="e">
        <f>IF('F0 - Données générales'!$H$5="journalier",'F5 - Frais et recettes'!Q11/'F2 - Données facturation'!$Y$37,IF('F0 - Données générales'!$H$5="horaire",'F5 - Frais et recettes'!Q11/'F2 - Données facturation'!$AA$20,""))</f>
        <v>#DIV/0!</v>
      </c>
      <c r="G25" s="245" t="e">
        <f>IF('F0 - Données générales'!$H$5="journalier",'F5 - Frais et recettes'!R11/'F2 - Données facturation'!$Y$37,IF('F0 - Données générales'!$H$5="horaire",'F5 - Frais et recettes'!R11/'F2 - Données facturation'!$AA$20,""))</f>
        <v>#DIV/0!</v>
      </c>
      <c r="H25" s="314"/>
    </row>
    <row r="26" spans="1:8" ht="29.25" customHeight="1" x14ac:dyDescent="0.3">
      <c r="A26" s="18"/>
      <c r="B26" s="944" t="s">
        <v>94</v>
      </c>
      <c r="C26" s="945"/>
      <c r="D26" s="945"/>
      <c r="E26" s="938"/>
      <c r="F26" s="244" t="e">
        <f>IF('F0 - Données générales'!$H$5="journalier",'F5 - Frais et recettes'!Q12/'F2 - Données facturation'!$Y$37,IF('F0 - Données générales'!$H$5="horaire",'F5 - Frais et recettes'!Q12/'F2 - Données facturation'!$AA$20,""))</f>
        <v>#DIV/0!</v>
      </c>
      <c r="G26" s="244" t="e">
        <f>IF('F0 - Données générales'!$H$5="journalier",'F5 - Frais et recettes'!R12/'F2 - Données facturation'!$Y$37,IF('F0 - Données générales'!$H$5="horaire",'F5 - Frais et recettes'!R12/'F2 - Données facturation'!$AA$20,""))</f>
        <v>#DIV/0!</v>
      </c>
      <c r="H26" s="314"/>
    </row>
  </sheetData>
  <mergeCells count="43">
    <mergeCell ref="L2:L4"/>
    <mergeCell ref="M2:N2"/>
    <mergeCell ref="O2:P2"/>
    <mergeCell ref="B5:E5"/>
    <mergeCell ref="B6:E6"/>
    <mergeCell ref="M3:M4"/>
    <mergeCell ref="N3:N4"/>
    <mergeCell ref="O3:O4"/>
    <mergeCell ref="P3:P4"/>
    <mergeCell ref="B7:E7"/>
    <mergeCell ref="B8:E8"/>
    <mergeCell ref="F3:F4"/>
    <mergeCell ref="B25:E25"/>
    <mergeCell ref="B26:E26"/>
    <mergeCell ref="B21:E21"/>
    <mergeCell ref="B22:E22"/>
    <mergeCell ref="B9:E9"/>
    <mergeCell ref="B10:E10"/>
    <mergeCell ref="B23:E23"/>
    <mergeCell ref="B19:E19"/>
    <mergeCell ref="B20:E20"/>
    <mergeCell ref="B24:E24"/>
    <mergeCell ref="B11:E11"/>
    <mergeCell ref="B12:E12"/>
    <mergeCell ref="A16:A18"/>
    <mergeCell ref="B16:E18"/>
    <mergeCell ref="F16:G16"/>
    <mergeCell ref="F17:F18"/>
    <mergeCell ref="G17:G18"/>
    <mergeCell ref="A2:A4"/>
    <mergeCell ref="B2:E4"/>
    <mergeCell ref="F2:G2"/>
    <mergeCell ref="H2:J2"/>
    <mergeCell ref="K2:K4"/>
    <mergeCell ref="G3:G4"/>
    <mergeCell ref="H3:H4"/>
    <mergeCell ref="I3:J3"/>
    <mergeCell ref="V2:AB2"/>
    <mergeCell ref="AC2:AD2"/>
    <mergeCell ref="V3:AB3"/>
    <mergeCell ref="AC3:AD3"/>
    <mergeCell ref="Q2:Q4"/>
    <mergeCell ref="R2:R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86D8-F115-4522-8480-5E2CE1533C84}">
  <sheetPr>
    <tabColor theme="4" tint="0.79998168889431442"/>
  </sheetPr>
  <dimension ref="A1:H30"/>
  <sheetViews>
    <sheetView workbookViewId="0">
      <selection activeCell="D3" sqref="D3"/>
    </sheetView>
  </sheetViews>
  <sheetFormatPr defaultColWidth="11.44140625" defaultRowHeight="14.4" x14ac:dyDescent="0.3"/>
  <cols>
    <col min="1" max="1" width="21.44140625" customWidth="1"/>
    <col min="2" max="2" width="65.109375" customWidth="1"/>
    <col min="3" max="5" width="23.5546875" customWidth="1"/>
    <col min="6" max="6" width="33.6640625" customWidth="1"/>
    <col min="7" max="7" width="23.5546875" customWidth="1"/>
  </cols>
  <sheetData>
    <row r="1" spans="1:8" s="168" customFormat="1" ht="28.8" x14ac:dyDescent="0.3">
      <c r="A1" s="248"/>
      <c r="B1" s="248"/>
      <c r="C1" s="571" t="s">
        <v>354</v>
      </c>
      <c r="D1" s="571" t="s">
        <v>9</v>
      </c>
      <c r="E1" s="571" t="s">
        <v>355</v>
      </c>
      <c r="F1" s="248"/>
      <c r="G1" s="248"/>
    </row>
    <row r="2" spans="1:8" ht="18.600000000000001" thickBot="1" x14ac:dyDescent="0.35">
      <c r="A2" s="952" t="s">
        <v>174</v>
      </c>
      <c r="B2" s="952"/>
      <c r="C2" s="41" t="s">
        <v>126</v>
      </c>
      <c r="D2" s="41" t="s">
        <v>126</v>
      </c>
      <c r="E2" s="41" t="s">
        <v>126</v>
      </c>
      <c r="F2" s="14"/>
      <c r="G2" s="14"/>
    </row>
    <row r="3" spans="1:8" ht="15" thickTop="1" x14ac:dyDescent="0.3">
      <c r="A3" s="956" t="s">
        <v>298</v>
      </c>
      <c r="B3" s="956"/>
      <c r="C3" s="123">
        <f>IF('F0 - Données générales'!$H$5="horaire",SUM('F2 - Données facturation'!J5:K23),IF('F0 - Données générales'!$H$5="journalier",'F2 - Données facturation'!N35,""))</f>
        <v>0</v>
      </c>
      <c r="D3" s="123">
        <f>IF('F0 - Données générales'!$H$5="horaire",SUM('F2 - Données facturation'!O5:P23),IF('F0 - Données générales'!$H$5="journalier",'F2 - Données facturation'!N36,""))</f>
        <v>0</v>
      </c>
      <c r="E3" s="123">
        <f>IF(C3="","",D3-C3)</f>
        <v>0</v>
      </c>
      <c r="F3" s="14"/>
      <c r="G3" s="14"/>
    </row>
    <row r="4" spans="1:8" x14ac:dyDescent="0.3">
      <c r="A4" s="957" t="s">
        <v>173</v>
      </c>
      <c r="B4" s="957"/>
      <c r="C4" s="124">
        <v>0</v>
      </c>
      <c r="D4" s="158">
        <v>0</v>
      </c>
      <c r="E4" s="123">
        <f>D4-C4</f>
        <v>0</v>
      </c>
      <c r="F4" s="14"/>
      <c r="G4" s="14"/>
    </row>
    <row r="5" spans="1:8" ht="15.6" x14ac:dyDescent="0.3">
      <c r="A5" s="958" t="s">
        <v>57</v>
      </c>
      <c r="B5" s="958"/>
      <c r="C5" s="249">
        <f>SUM(C3:C4)</f>
        <v>0</v>
      </c>
      <c r="D5" s="249">
        <f>SUM(D3:D4)</f>
        <v>0</v>
      </c>
      <c r="E5" s="249">
        <f>D5-C5</f>
        <v>0</v>
      </c>
      <c r="F5" s="14"/>
      <c r="G5" s="14"/>
    </row>
    <row r="6" spans="1:8" ht="15.6" x14ac:dyDescent="0.3">
      <c r="A6" s="572"/>
      <c r="B6" s="572"/>
      <c r="C6" s="250"/>
      <c r="D6" s="250"/>
      <c r="E6" s="250"/>
      <c r="F6" s="14"/>
      <c r="G6" s="14"/>
    </row>
    <row r="7" spans="1:8" x14ac:dyDescent="0.3">
      <c r="F7" s="14" t="str">
        <f>IF(D5=0,"",IF(E5&lt;&gt;0,"A vérifier entre les parties","ok"))</f>
        <v/>
      </c>
      <c r="G7" s="14"/>
    </row>
    <row r="8" spans="1:8" s="270" customFormat="1" ht="28.8" x14ac:dyDescent="0.3">
      <c r="A8" s="251"/>
      <c r="B8" s="251"/>
      <c r="C8" s="251" t="s">
        <v>368</v>
      </c>
      <c r="D8" s="16" t="s">
        <v>369</v>
      </c>
      <c r="E8" s="16"/>
      <c r="F8" s="16"/>
      <c r="G8" s="16"/>
    </row>
    <row r="9" spans="1:8" ht="18.600000000000001" thickBot="1" x14ac:dyDescent="0.35">
      <c r="A9" s="952" t="s">
        <v>353</v>
      </c>
      <c r="B9" s="952"/>
      <c r="C9" s="41" t="s">
        <v>126</v>
      </c>
      <c r="D9" s="41" t="s">
        <v>126</v>
      </c>
      <c r="E9" s="113"/>
      <c r="F9" s="113"/>
      <c r="G9" s="113"/>
    </row>
    <row r="10" spans="1:8" ht="15" thickTop="1" x14ac:dyDescent="0.3">
      <c r="A10" s="956" t="s">
        <v>356</v>
      </c>
      <c r="B10" s="956"/>
      <c r="C10" s="573">
        <f>SUM(C12:C16)+C11</f>
        <v>0</v>
      </c>
      <c r="D10" s="573" t="e">
        <f>IF('F0 - Données générales'!$H$5="horaire",'F6 - Bénéfice_perte'!C10/'F2 - Données facturation'!$AA$20,IF('F0 - Données générales'!$H$5="journalier",'F6 - Bénéfice_perte'!C10/'F2 - Données facturation'!$W$39,0))</f>
        <v>#DIV/0!</v>
      </c>
      <c r="E10" s="252" t="s">
        <v>437</v>
      </c>
      <c r="F10" s="272"/>
      <c r="G10" s="272"/>
    </row>
    <row r="11" spans="1:8" x14ac:dyDescent="0.3">
      <c r="A11" s="955" t="s">
        <v>359</v>
      </c>
      <c r="B11" s="955"/>
      <c r="C11" s="574">
        <f>'F3 - Relevé du personnel'!BO34</f>
        <v>0</v>
      </c>
      <c r="D11" s="574" t="e">
        <f>IF('F0 - Données générales'!$H$5="horaire",'F6 - Bénéfice_perte'!C11/'F2 - Données facturation'!$AA$20,IF('F0 - Données générales'!$H$5="journalier",'F6 - Bénéfice_perte'!C11/'F2 - Données facturation'!$W$39,0))</f>
        <v>#DIV/0!</v>
      </c>
      <c r="E11" s="252" t="s">
        <v>437</v>
      </c>
      <c r="F11" s="252"/>
      <c r="G11" s="252"/>
      <c r="H11" s="320"/>
    </row>
    <row r="12" spans="1:8" x14ac:dyDescent="0.3">
      <c r="A12" s="955" t="s">
        <v>360</v>
      </c>
      <c r="B12" s="955"/>
      <c r="C12" s="574">
        <f>'F3 - Relevé du personnel'!BN73</f>
        <v>0</v>
      </c>
      <c r="D12" s="574" t="e">
        <f>IF('F0 - Données générales'!$H$5="horaire",'F6 - Bénéfice_perte'!C12/'F2 - Données facturation'!$AA$20,IF('F0 - Données générales'!$H$5="journalier",'F6 - Bénéfice_perte'!C12/'F2 - Données facturation'!$W$39,0))</f>
        <v>#DIV/0!</v>
      </c>
      <c r="E12" s="252" t="s">
        <v>437</v>
      </c>
      <c r="F12" s="322"/>
      <c r="G12" s="252"/>
      <c r="H12" s="320"/>
    </row>
    <row r="13" spans="1:8" x14ac:dyDescent="0.3">
      <c r="A13" s="955" t="s">
        <v>361</v>
      </c>
      <c r="B13" s="955"/>
      <c r="C13" s="574">
        <f>'F3 - Relevé du personnel'!BN112</f>
        <v>0</v>
      </c>
      <c r="D13" s="574" t="e">
        <f>IF('F0 - Données générales'!$H$5="horaire",'F6 - Bénéfice_perte'!C13/'F2 - Données facturation'!$AA$20,IF('F0 - Données générales'!$H$5="journalier",'F6 - Bénéfice_perte'!C13/'F2 - Données facturation'!$W$39,0))</f>
        <v>#DIV/0!</v>
      </c>
      <c r="E13" s="252" t="s">
        <v>437</v>
      </c>
      <c r="F13" s="322"/>
      <c r="G13" s="252"/>
      <c r="H13" s="320"/>
    </row>
    <row r="14" spans="1:8" x14ac:dyDescent="0.3">
      <c r="A14" s="955" t="s">
        <v>362</v>
      </c>
      <c r="B14" s="955"/>
      <c r="C14" s="574">
        <f>'F3 - Relevé du personnel'!BN151</f>
        <v>0</v>
      </c>
      <c r="D14" s="574" t="e">
        <f>IF('F0 - Données générales'!$H$5="horaire",'F6 - Bénéfice_perte'!C14/'F2 - Données facturation'!$AA$20,IF('F0 - Données générales'!$H$5="journalier",'F6 - Bénéfice_perte'!C14/'F2 - Données facturation'!$W$39,0))</f>
        <v>#DIV/0!</v>
      </c>
      <c r="E14" s="252" t="s">
        <v>437</v>
      </c>
      <c r="F14" s="322"/>
      <c r="G14" s="252"/>
      <c r="H14" s="320"/>
    </row>
    <row r="15" spans="1:8" x14ac:dyDescent="0.3">
      <c r="A15" s="955" t="s">
        <v>363</v>
      </c>
      <c r="B15" s="955"/>
      <c r="C15" s="574">
        <f>'F3 - Relevé du personnel'!BZ50</f>
        <v>0</v>
      </c>
      <c r="D15" s="574" t="e">
        <f>IF('F0 - Données générales'!$H$5="horaire",'F6 - Bénéfice_perte'!C15/'F2 - Données facturation'!$AA$20,IF('F0 - Données générales'!$H$5="journalier",'F6 - Bénéfice_perte'!C15/'F2 - Données facturation'!$W$39,0))</f>
        <v>#DIV/0!</v>
      </c>
      <c r="E15" s="252" t="s">
        <v>437</v>
      </c>
      <c r="F15" s="252"/>
      <c r="G15" s="252"/>
      <c r="H15" s="320"/>
    </row>
    <row r="16" spans="1:8" x14ac:dyDescent="0.3">
      <c r="A16" s="955" t="s">
        <v>364</v>
      </c>
      <c r="B16" s="955"/>
      <c r="C16" s="574">
        <f>'F3 - Relevé du personnel'!BZ57</f>
        <v>0</v>
      </c>
      <c r="D16" s="574" t="e">
        <f>IF('F0 - Données générales'!$H$5="horaire",'F6 - Bénéfice_perte'!C16/'F2 - Données facturation'!$AA$20,IF('F0 - Données générales'!$H$5="journalier",'F6 - Bénéfice_perte'!C16/'F2 - Données facturation'!$W$39,0))</f>
        <v>#DIV/0!</v>
      </c>
      <c r="E16" s="252" t="s">
        <v>437</v>
      </c>
      <c r="F16" s="252"/>
      <c r="G16" s="252"/>
      <c r="H16" s="320"/>
    </row>
    <row r="17" spans="1:8" x14ac:dyDescent="0.3">
      <c r="A17" s="949" t="s">
        <v>357</v>
      </c>
      <c r="B17" s="949"/>
      <c r="C17" s="573">
        <f>'F5 - Frais et recettes'!Q12</f>
        <v>0</v>
      </c>
      <c r="D17" s="573" t="e">
        <f>IF('F0 - Données générales'!$H$5="horaire",'F6 - Bénéfice_perte'!C17/'F2 - Données facturation'!$AA$20,IF('F0 - Données générales'!$H$5="journalier",'F6 - Bénéfice_perte'!C17/'F2 - Données facturation'!$W$39,0))</f>
        <v>#DIV/0!</v>
      </c>
      <c r="E17" s="252" t="s">
        <v>437</v>
      </c>
      <c r="F17" s="272"/>
      <c r="G17" s="272"/>
      <c r="H17" s="320"/>
    </row>
    <row r="18" spans="1:8" x14ac:dyDescent="0.3">
      <c r="A18" s="950" t="s">
        <v>377</v>
      </c>
      <c r="B18" s="950"/>
      <c r="C18" s="575">
        <f>C10+C17</f>
        <v>0</v>
      </c>
      <c r="D18" s="575" t="e">
        <f>D10+D17</f>
        <v>#DIV/0!</v>
      </c>
      <c r="E18" s="321"/>
      <c r="F18" s="321"/>
      <c r="G18" s="321"/>
    </row>
    <row r="19" spans="1:8" hidden="1" x14ac:dyDescent="0.3">
      <c r="A19" s="949" t="s">
        <v>365</v>
      </c>
      <c r="B19" s="949"/>
      <c r="C19" s="573">
        <f>'F5 - Frais et recettes'!R12-'F5 - Frais et recettes'!Q12</f>
        <v>0</v>
      </c>
      <c r="D19" s="573" t="e">
        <f>IF('F0 - Données générales'!$H$5="horaire",'F6 - Bénéfice_perte'!C19/'F2 - Données facturation'!$AA$20,IF('F0 - Données générales'!$H$5="journalier",'F6 - Bénéfice_perte'!C19/'F2 - Données facturation'!$Y$30,0))</f>
        <v>#DIV/0!</v>
      </c>
      <c r="E19" s="272"/>
      <c r="F19" s="272"/>
      <c r="G19" s="272"/>
    </row>
    <row r="20" spans="1:8" hidden="1" x14ac:dyDescent="0.3">
      <c r="A20" s="950" t="s">
        <v>378</v>
      </c>
      <c r="B20" s="950"/>
      <c r="C20" s="575">
        <f>C$18+C19</f>
        <v>0</v>
      </c>
      <c r="D20" s="575" t="e">
        <f>D$18+D19</f>
        <v>#DIV/0!</v>
      </c>
      <c r="E20" s="321"/>
      <c r="F20" s="321"/>
      <c r="G20" s="321"/>
    </row>
    <row r="21" spans="1:8" hidden="1" x14ac:dyDescent="0.3">
      <c r="A21" s="949" t="s">
        <v>358</v>
      </c>
      <c r="B21" s="949"/>
      <c r="C21" s="573">
        <f>'F4 - Amortissement_investiss'!J20+'F4 - Amortissement_investiss'!J7</f>
        <v>0</v>
      </c>
      <c r="D21" s="573" t="e">
        <f>IF('F0 - Données générales'!$H$5="horaire",'F6 - Bénéfice_perte'!C21/'F2 - Données facturation'!$AA$20,IF('F0 - Données générales'!$H$5="journalier",'F6 - Bénéfice_perte'!C21/'F2 - Données facturation'!$Y$30,0))</f>
        <v>#DIV/0!</v>
      </c>
      <c r="E21" s="272"/>
      <c r="F21" s="272"/>
      <c r="G21" s="272"/>
    </row>
    <row r="22" spans="1:8" hidden="1" x14ac:dyDescent="0.3">
      <c r="A22" s="950" t="s">
        <v>379</v>
      </c>
      <c r="B22" s="950"/>
      <c r="C22" s="575">
        <f>C$18+C21</f>
        <v>0</v>
      </c>
      <c r="D22" s="575" t="e">
        <f>D$18+D21</f>
        <v>#DIV/0!</v>
      </c>
      <c r="E22" s="321"/>
      <c r="F22" s="321"/>
      <c r="G22" s="321"/>
    </row>
    <row r="23" spans="1:8" ht="15.6" x14ac:dyDescent="0.3">
      <c r="A23" s="951"/>
      <c r="B23" s="951"/>
      <c r="C23" s="250"/>
      <c r="D23" s="250"/>
      <c r="E23" s="250"/>
      <c r="F23" s="250"/>
      <c r="G23" s="250"/>
    </row>
    <row r="24" spans="1:8" ht="15.6" x14ac:dyDescent="0.3">
      <c r="A24" s="572"/>
      <c r="B24" s="572"/>
      <c r="C24" s="250"/>
      <c r="D24" s="250"/>
      <c r="E24" s="250"/>
      <c r="F24" s="250"/>
      <c r="G24" s="250"/>
    </row>
    <row r="25" spans="1:8" ht="15.6" x14ac:dyDescent="0.3">
      <c r="A25" s="951"/>
      <c r="B25" s="951"/>
      <c r="C25" s="250"/>
      <c r="D25" s="250"/>
      <c r="E25" s="250"/>
    </row>
    <row r="26" spans="1:8" s="270" customFormat="1" ht="28.8" x14ac:dyDescent="0.3">
      <c r="C26" s="270" t="s">
        <v>366</v>
      </c>
      <c r="D26" s="270" t="s">
        <v>367</v>
      </c>
      <c r="E26" s="270" t="s">
        <v>416</v>
      </c>
    </row>
    <row r="27" spans="1:8" ht="18.600000000000001" thickBot="1" x14ac:dyDescent="0.35">
      <c r="A27" s="952" t="s">
        <v>370</v>
      </c>
      <c r="B27" s="952"/>
      <c r="C27" s="41" t="s">
        <v>126</v>
      </c>
      <c r="D27" s="41" t="s">
        <v>126</v>
      </c>
      <c r="E27" s="41" t="s">
        <v>417</v>
      </c>
    </row>
    <row r="28" spans="1:8" ht="30" customHeight="1" thickTop="1" x14ac:dyDescent="0.3">
      <c r="A28" s="953" t="s">
        <v>373</v>
      </c>
      <c r="B28" s="953"/>
      <c r="C28" s="286">
        <f>$C$5-SUM($C$10,$C$17)</f>
        <v>0</v>
      </c>
      <c r="D28" s="286" t="e">
        <f>IF('F0 - Données générales'!$H$5="horaire",'F6 - Bénéfice_perte'!C18/'F2 - Données facturation'!$AA$20,IF('F0 - Données générales'!$H$5="journalier",'F6 - Bénéfice_perte'!C18/'F2 - Données facturation'!$W$39,0))</f>
        <v>#DIV/0!</v>
      </c>
      <c r="E28" s="287">
        <f>IF($C$5=0,0,C28/$C$5)</f>
        <v>0</v>
      </c>
      <c r="F28" s="293" t="s">
        <v>419</v>
      </c>
      <c r="G28" s="294">
        <v>0.04</v>
      </c>
    </row>
    <row r="29" spans="1:8" ht="30" hidden="1" customHeight="1" x14ac:dyDescent="0.3">
      <c r="A29" s="954" t="s">
        <v>372</v>
      </c>
      <c r="B29" s="954"/>
      <c r="C29" s="288">
        <f>$C$5-SUM($C$10,$C$17,C19)</f>
        <v>0</v>
      </c>
      <c r="D29" s="288" t="e">
        <f>IF('F0 - Données générales'!$H$5="horaire",'F6 - Bénéfice_perte'!C19/'F2 - Données facturation'!$AA$20,IF('F0 - Données générales'!$H$5="journalier",'F6 - Bénéfice_perte'!C19/'F2 - Données facturation'!$Y$30,0))</f>
        <v>#DIV/0!</v>
      </c>
      <c r="E29" s="289">
        <f>IF($C$5=0,0,C29/$C$5)</f>
        <v>0</v>
      </c>
    </row>
    <row r="30" spans="1:8" ht="30" hidden="1" customHeight="1" x14ac:dyDescent="0.3">
      <c r="A30" s="948" t="s">
        <v>371</v>
      </c>
      <c r="B30" s="948"/>
      <c r="C30" s="290">
        <f>$C$5-SUM($C$10,$C$17,C21)</f>
        <v>0</v>
      </c>
      <c r="D30" s="290" t="e">
        <f>IF('F0 - Données générales'!$H$5="horaire",'F6 - Bénéfice_perte'!C20/'F2 - Données facturation'!$AA$20,IF('F0 - Données générales'!$H$5="journalier",'F6 - Bénéfice_perte'!C20/'F2 - Données facturation'!$Y$30,0))</f>
        <v>#DIV/0!</v>
      </c>
      <c r="E30" s="291">
        <f>IF($C$5=0,0,C30/$C$5)</f>
        <v>0</v>
      </c>
    </row>
  </sheetData>
  <mergeCells count="24">
    <mergeCell ref="A16:B16"/>
    <mergeCell ref="A2:B2"/>
    <mergeCell ref="A3:B3"/>
    <mergeCell ref="A4:B4"/>
    <mergeCell ref="A5:B5"/>
    <mergeCell ref="A9:B9"/>
    <mergeCell ref="A10:B10"/>
    <mergeCell ref="A11:B11"/>
    <mergeCell ref="A12:B12"/>
    <mergeCell ref="A13:B13"/>
    <mergeCell ref="A14:B14"/>
    <mergeCell ref="A15:B15"/>
    <mergeCell ref="A30:B30"/>
    <mergeCell ref="A17:B17"/>
    <mergeCell ref="A18:B18"/>
    <mergeCell ref="A19:B19"/>
    <mergeCell ref="A20:B20"/>
    <mergeCell ref="A21:B21"/>
    <mergeCell ref="A22:B22"/>
    <mergeCell ref="A23:B23"/>
    <mergeCell ref="A25:B25"/>
    <mergeCell ref="A27:B27"/>
    <mergeCell ref="A28:B28"/>
    <mergeCell ref="A29:B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2:AMJ30"/>
  <sheetViews>
    <sheetView workbookViewId="0">
      <selection activeCell="K57" sqref="K57"/>
    </sheetView>
  </sheetViews>
  <sheetFormatPr defaultColWidth="12.5546875" defaultRowHeight="14.4" x14ac:dyDescent="0.3"/>
  <cols>
    <col min="1" max="11" width="11.88671875" style="217" customWidth="1"/>
    <col min="12" max="1024" width="12.33203125" style="217" customWidth="1"/>
    <col min="1025" max="16384" width="12.5546875" style="231"/>
  </cols>
  <sheetData>
    <row r="2" spans="1:11" ht="25.8" x14ac:dyDescent="0.5">
      <c r="A2" s="214" t="s">
        <v>336</v>
      </c>
      <c r="B2" s="215"/>
      <c r="C2" s="215"/>
      <c r="D2" s="215"/>
      <c r="E2" s="215"/>
      <c r="F2" s="215"/>
      <c r="G2" s="216"/>
      <c r="H2" s="216"/>
      <c r="I2" s="215"/>
      <c r="J2" s="215"/>
      <c r="K2" s="215"/>
    </row>
    <row r="3" spans="1:11" x14ac:dyDescent="0.3">
      <c r="A3" s="217" t="s">
        <v>337</v>
      </c>
      <c r="G3" s="218" t="s">
        <v>338</v>
      </c>
      <c r="H3" s="218"/>
    </row>
    <row r="4" spans="1:11" x14ac:dyDescent="0.3">
      <c r="A4" s="219" t="s">
        <v>339</v>
      </c>
      <c r="B4" s="219" t="s">
        <v>340</v>
      </c>
      <c r="C4" s="220"/>
      <c r="D4" s="221" t="s">
        <v>341</v>
      </c>
      <c r="E4" s="220"/>
      <c r="G4" s="219" t="s">
        <v>339</v>
      </c>
      <c r="H4" s="219" t="s">
        <v>340</v>
      </c>
      <c r="I4" s="220"/>
      <c r="J4" s="221" t="s">
        <v>341</v>
      </c>
      <c r="K4" s="220"/>
    </row>
    <row r="5" spans="1:11" x14ac:dyDescent="0.3">
      <c r="A5" s="222">
        <v>44197</v>
      </c>
      <c r="B5" s="222">
        <v>44278</v>
      </c>
      <c r="C5" s="223">
        <f>IF(B5="",0,B5-A5+1)</f>
        <v>82</v>
      </c>
      <c r="D5" s="224">
        <v>0.5</v>
      </c>
      <c r="E5" s="225">
        <f>+C5*D5</f>
        <v>41</v>
      </c>
      <c r="G5" s="222">
        <v>44197</v>
      </c>
      <c r="H5" s="222">
        <v>44347</v>
      </c>
      <c r="I5" s="223">
        <f t="shared" ref="I5:I15" si="0">IF(H5="",0,H5-G5+1)</f>
        <v>151</v>
      </c>
      <c r="J5" s="224">
        <v>0</v>
      </c>
      <c r="K5" s="225">
        <f t="shared" ref="K5:K15" si="1">+I5*J5</f>
        <v>0</v>
      </c>
    </row>
    <row r="6" spans="1:11" x14ac:dyDescent="0.3">
      <c r="A6" s="222">
        <v>44279</v>
      </c>
      <c r="B6" s="222">
        <v>44341</v>
      </c>
      <c r="C6" s="223">
        <f t="shared" ref="C6:C15" si="2">IF(B6="",0,B6-A6+1)</f>
        <v>63</v>
      </c>
      <c r="D6" s="224">
        <v>0</v>
      </c>
      <c r="E6" s="225">
        <f t="shared" ref="E6:E15" si="3">+C6*D6</f>
        <v>0</v>
      </c>
      <c r="G6" s="222">
        <v>44348</v>
      </c>
      <c r="H6" s="222">
        <v>44561</v>
      </c>
      <c r="I6" s="223">
        <f t="shared" si="0"/>
        <v>214</v>
      </c>
      <c r="J6" s="224">
        <v>0.75</v>
      </c>
      <c r="K6" s="225">
        <f t="shared" si="1"/>
        <v>160.5</v>
      </c>
    </row>
    <row r="7" spans="1:11" x14ac:dyDescent="0.3">
      <c r="A7" s="222">
        <v>44342</v>
      </c>
      <c r="B7" s="222">
        <v>44561</v>
      </c>
      <c r="C7" s="223">
        <f t="shared" si="2"/>
        <v>220</v>
      </c>
      <c r="D7" s="224">
        <v>1</v>
      </c>
      <c r="E7" s="225">
        <f t="shared" si="3"/>
        <v>220</v>
      </c>
      <c r="G7" s="222"/>
      <c r="H7" s="222"/>
      <c r="I7" s="223">
        <f t="shared" si="0"/>
        <v>0</v>
      </c>
      <c r="J7" s="224"/>
      <c r="K7" s="225">
        <f t="shared" si="1"/>
        <v>0</v>
      </c>
    </row>
    <row r="8" spans="1:11" x14ac:dyDescent="0.3">
      <c r="A8" s="226"/>
      <c r="B8" s="226"/>
      <c r="C8" s="223">
        <f t="shared" si="2"/>
        <v>0</v>
      </c>
      <c r="D8" s="224"/>
      <c r="E8" s="225">
        <f t="shared" si="3"/>
        <v>0</v>
      </c>
      <c r="G8" s="226"/>
      <c r="H8" s="226"/>
      <c r="I8" s="223">
        <f t="shared" si="0"/>
        <v>0</v>
      </c>
      <c r="J8" s="224"/>
      <c r="K8" s="225">
        <f t="shared" si="1"/>
        <v>0</v>
      </c>
    </row>
    <row r="9" spans="1:11" x14ac:dyDescent="0.3">
      <c r="A9" s="226"/>
      <c r="B9" s="226"/>
      <c r="C9" s="223">
        <f t="shared" si="2"/>
        <v>0</v>
      </c>
      <c r="D9" s="224"/>
      <c r="E9" s="225">
        <f t="shared" si="3"/>
        <v>0</v>
      </c>
      <c r="G9" s="226"/>
      <c r="H9" s="226"/>
      <c r="I9" s="223">
        <f t="shared" si="0"/>
        <v>0</v>
      </c>
      <c r="J9" s="224"/>
      <c r="K9" s="225">
        <f t="shared" si="1"/>
        <v>0</v>
      </c>
    </row>
    <row r="10" spans="1:11" x14ac:dyDescent="0.3">
      <c r="A10" s="226"/>
      <c r="B10" s="226"/>
      <c r="C10" s="223">
        <f t="shared" si="2"/>
        <v>0</v>
      </c>
      <c r="D10" s="224"/>
      <c r="E10" s="225">
        <f t="shared" si="3"/>
        <v>0</v>
      </c>
      <c r="G10" s="226"/>
      <c r="H10" s="226"/>
      <c r="I10" s="223">
        <f t="shared" si="0"/>
        <v>0</v>
      </c>
      <c r="J10" s="224"/>
      <c r="K10" s="225">
        <f t="shared" si="1"/>
        <v>0</v>
      </c>
    </row>
    <row r="11" spans="1:11" x14ac:dyDescent="0.3">
      <c r="A11" s="226"/>
      <c r="B11" s="226"/>
      <c r="C11" s="223">
        <f t="shared" si="2"/>
        <v>0</v>
      </c>
      <c r="D11" s="224"/>
      <c r="E11" s="225">
        <f t="shared" si="3"/>
        <v>0</v>
      </c>
      <c r="G11" s="226"/>
      <c r="H11" s="226"/>
      <c r="I11" s="223">
        <f t="shared" si="0"/>
        <v>0</v>
      </c>
      <c r="J11" s="224"/>
      <c r="K11" s="225">
        <f t="shared" si="1"/>
        <v>0</v>
      </c>
    </row>
    <row r="12" spans="1:11" x14ac:dyDescent="0.3">
      <c r="A12" s="226"/>
      <c r="B12" s="226"/>
      <c r="C12" s="223">
        <f t="shared" si="2"/>
        <v>0</v>
      </c>
      <c r="D12" s="224"/>
      <c r="E12" s="225">
        <f t="shared" si="3"/>
        <v>0</v>
      </c>
      <c r="G12" s="226"/>
      <c r="H12" s="226"/>
      <c r="I12" s="223">
        <f t="shared" si="0"/>
        <v>0</v>
      </c>
      <c r="J12" s="224"/>
      <c r="K12" s="225">
        <f t="shared" si="1"/>
        <v>0</v>
      </c>
    </row>
    <row r="13" spans="1:11" x14ac:dyDescent="0.3">
      <c r="A13" s="226"/>
      <c r="B13" s="226"/>
      <c r="C13" s="223">
        <f t="shared" si="2"/>
        <v>0</v>
      </c>
      <c r="D13" s="224"/>
      <c r="E13" s="225">
        <f t="shared" si="3"/>
        <v>0</v>
      </c>
      <c r="G13" s="226"/>
      <c r="H13" s="226"/>
      <c r="I13" s="223">
        <f t="shared" si="0"/>
        <v>0</v>
      </c>
      <c r="J13" s="224"/>
      <c r="K13" s="225">
        <f t="shared" si="1"/>
        <v>0</v>
      </c>
    </row>
    <row r="14" spans="1:11" x14ac:dyDescent="0.3">
      <c r="A14" s="226"/>
      <c r="B14" s="226"/>
      <c r="C14" s="223">
        <f t="shared" si="2"/>
        <v>0</v>
      </c>
      <c r="D14" s="224"/>
      <c r="E14" s="225">
        <f t="shared" si="3"/>
        <v>0</v>
      </c>
      <c r="G14" s="226"/>
      <c r="H14" s="226"/>
      <c r="I14" s="223">
        <f t="shared" si="0"/>
        <v>0</v>
      </c>
      <c r="J14" s="224"/>
      <c r="K14" s="225">
        <f t="shared" si="1"/>
        <v>0</v>
      </c>
    </row>
    <row r="15" spans="1:11" x14ac:dyDescent="0.3">
      <c r="A15" s="226"/>
      <c r="B15" s="226"/>
      <c r="C15" s="223">
        <f t="shared" si="2"/>
        <v>0</v>
      </c>
      <c r="D15" s="224"/>
      <c r="E15" s="225">
        <f t="shared" si="3"/>
        <v>0</v>
      </c>
      <c r="G15" s="226"/>
      <c r="H15" s="226"/>
      <c r="I15" s="223">
        <f t="shared" si="0"/>
        <v>0</v>
      </c>
      <c r="J15" s="224"/>
      <c r="K15" s="225">
        <f t="shared" si="1"/>
        <v>0</v>
      </c>
    </row>
    <row r="16" spans="1:11" x14ac:dyDescent="0.3">
      <c r="G16" s="218"/>
      <c r="H16" s="218"/>
    </row>
    <row r="17" spans="2:11" x14ac:dyDescent="0.3">
      <c r="B17" s="227" t="s">
        <v>57</v>
      </c>
      <c r="C17" s="228">
        <f>SUM(C5:C15)</f>
        <v>365</v>
      </c>
      <c r="E17" s="228">
        <f>SUM(E5:E15)</f>
        <v>261</v>
      </c>
      <c r="G17" s="218"/>
      <c r="H17" s="227" t="s">
        <v>57</v>
      </c>
      <c r="I17" s="228">
        <f>SUM(I5:I15)</f>
        <v>365</v>
      </c>
      <c r="K17" s="228">
        <f>SUM(K5:K15)</f>
        <v>160.5</v>
      </c>
    </row>
    <row r="18" spans="2:11" x14ac:dyDescent="0.3">
      <c r="G18" s="218"/>
      <c r="H18" s="218"/>
    </row>
    <row r="19" spans="2:11" x14ac:dyDescent="0.3">
      <c r="E19" s="229" t="s">
        <v>56</v>
      </c>
      <c r="G19" s="218"/>
      <c r="H19" s="218"/>
      <c r="K19" s="229" t="s">
        <v>56</v>
      </c>
    </row>
    <row r="20" spans="2:11" x14ac:dyDescent="0.3">
      <c r="E20" s="230">
        <f>+E17/C17</f>
        <v>0.71506849315068488</v>
      </c>
      <c r="G20" s="218"/>
      <c r="H20" s="218"/>
      <c r="K20" s="230">
        <f>+K17/I17</f>
        <v>0.4397260273972603</v>
      </c>
    </row>
    <row r="21" spans="2:11" x14ac:dyDescent="0.3">
      <c r="G21" s="218"/>
      <c r="H21" s="218"/>
    </row>
    <row r="22" spans="2:11" x14ac:dyDescent="0.3">
      <c r="G22" s="218"/>
      <c r="H22" s="218"/>
    </row>
    <row r="23" spans="2:11" x14ac:dyDescent="0.3">
      <c r="G23" s="218"/>
      <c r="H23" s="218"/>
    </row>
    <row r="24" spans="2:11" x14ac:dyDescent="0.3">
      <c r="G24" s="218"/>
      <c r="H24" s="218"/>
    </row>
    <row r="25" spans="2:11" x14ac:dyDescent="0.3">
      <c r="G25" s="218"/>
      <c r="H25" s="218"/>
    </row>
    <row r="26" spans="2:11" x14ac:dyDescent="0.3">
      <c r="G26" s="218"/>
      <c r="H26" s="218"/>
    </row>
    <row r="27" spans="2:11" x14ac:dyDescent="0.3">
      <c r="G27" s="218"/>
      <c r="H27" s="218"/>
    </row>
    <row r="28" spans="2:11" x14ac:dyDescent="0.3">
      <c r="G28" s="218"/>
      <c r="H28" s="218"/>
    </row>
    <row r="29" spans="2:11" x14ac:dyDescent="0.3">
      <c r="G29" s="218"/>
      <c r="H29" s="218"/>
    </row>
    <row r="30" spans="2:11" x14ac:dyDescent="0.3">
      <c r="G30" s="218"/>
      <c r="H30" s="218"/>
    </row>
  </sheetData>
  <printOptions horizontalCentered="1" headings="1"/>
  <pageMargins left="0.3543307086614173" right="0.3543307086614173" top="0.86574803149606305" bottom="0.6393700787401575" header="0.47204724409448823" footer="0.15748031496062992"/>
  <pageSetup paperSize="9" scale="82" orientation="landscape" r:id="rId1"/>
  <headerFooter alignWithMargins="0">
    <oddFooter>&amp;L&amp;"Calibri,Regular"&amp;K000000&amp;F/&amp;A&amp;R&amp;"Calibri,Regular"&amp;K000000Date d'impression : &amp;D
Page &amp;P sur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F0 - Données générales</vt:lpstr>
      <vt:lpstr>F1 - Renseignementscompl</vt:lpstr>
      <vt:lpstr>F2 - Données facturation</vt:lpstr>
      <vt:lpstr>F3 - Relevé du personnel</vt:lpstr>
      <vt:lpstr>F3 - Formations et absences enc</vt:lpstr>
      <vt:lpstr>F4 - Amortissement_investiss</vt:lpstr>
      <vt:lpstr>F5 - Frais et recettes</vt:lpstr>
      <vt:lpstr>F6 - Bénéfice_perte</vt:lpstr>
      <vt:lpstr>Explication calcul ETP</vt:lpstr>
      <vt:lpstr>Aide au calcul ETP</vt:lpstr>
      <vt:lpstr>Carrières et points</vt:lpstr>
      <vt:lpstr>Test de plausibilité - FEDAS</vt:lpstr>
      <vt:lpstr>Test de plausibilité - MENJE</vt:lpstr>
      <vt:lpstr>Synthèse</vt:lpstr>
      <vt:lpstr>'Aide au calcul ETP'!Print_Area</vt:lpstr>
      <vt:lpstr>'F1 - Renseignementscompl'!Print_Area</vt:lpstr>
      <vt:lpstr>'Test de plausibilité - MENJE'!Print_Area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Pierre-Yves Muri</dc:creator>
  <cp:lastModifiedBy>GOTTAL Christian</cp:lastModifiedBy>
  <cp:lastPrinted>2020-04-09T11:37:11Z</cp:lastPrinted>
  <dcterms:created xsi:type="dcterms:W3CDTF">2018-03-26T08:42:40Z</dcterms:created>
  <dcterms:modified xsi:type="dcterms:W3CDTF">2024-07-05T10:22:46Z</dcterms:modified>
</cp:coreProperties>
</file>